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vacinova\Documents\JFD\Digi print_dveře\"/>
    </mc:Choice>
  </mc:AlternateContent>
  <xr:revisionPtr revIDLastSave="0" documentId="13_ncr:1_{2FE053BB-7DD5-41B4-B988-62E957CEA748}" xr6:coauthVersionLast="46" xr6:coauthVersionMax="46" xr10:uidLastSave="{00000000-0000-0000-0000-000000000000}"/>
  <bookViews>
    <workbookView xWindow="-120" yWindow="-120" windowWidth="29040" windowHeight="15840" xr2:uid="{988F9F1F-CE6C-4F69-B26F-B67B423ADF7B}"/>
  </bookViews>
  <sheets>
    <sheet name="dveře plné" sheetId="4" r:id="rId1"/>
    <sheet name="dveře prosklené" sheetId="5" r:id="rId2"/>
    <sheet name="ceny pro 1-7" sheetId="6" state="hidden" r:id="rId3"/>
  </sheets>
  <definedNames>
    <definedName name="CPL" localSheetId="1">'dveře prosklené'!$Y$14:$Y$16</definedName>
    <definedName name="CPL">'dveře plné'!$X$14:$X$16</definedName>
    <definedName name="CPLdvoukřídlé" localSheetId="1">'dveře prosklené'!$AF$19</definedName>
    <definedName name="CPLdvoukřídlé">'dveře plné'!$AE$19</definedName>
    <definedName name="CPLjednokřídlé" localSheetId="1">'dveře prosklené'!$AE$19:$AE$20</definedName>
    <definedName name="CPLjednokřídlé">'dveře plné'!$AD$19:$AD$20</definedName>
    <definedName name="délkaCPL" localSheetId="1">'dveře prosklené'!$AD$14:$AD$15</definedName>
    <definedName name="délkaCPL">'dveře plné'!$AC$14:$AC$15</definedName>
    <definedName name="délkadýha" localSheetId="1">'dveře prosklené'!$AE$14:$AE$15</definedName>
    <definedName name="délkadýha">'dveře plné'!$AD$14:$AD$15</definedName>
    <definedName name="délkafólie" localSheetId="1">'dveře prosklené'!$AC$14:$AC$15</definedName>
    <definedName name="délkafólie">'dveře plné'!$AB$14:$AB$15</definedName>
    <definedName name="délkaRAL" localSheetId="1">'dveře prosklené'!$AF$14</definedName>
    <definedName name="délkaRAL">'dveře plné'!$AE$14</definedName>
    <definedName name="dvoukřídlé" localSheetId="1">'dveře prosklené'!$Y$26:$Y$27</definedName>
    <definedName name="dvoukřídlé">'dveře plné'!$X$26:$X$27</definedName>
    <definedName name="dýha" localSheetId="1">'dveře prosklené'!$Z$14:$Z$17</definedName>
    <definedName name="dýha">'dveře plné'!$Y$14:$Y$17</definedName>
    <definedName name="dýhadvoukřídlé" localSheetId="1">'dveře prosklené'!$AH$19</definedName>
    <definedName name="dýhadvoukřídlé">'dveře plné'!$AG$19</definedName>
    <definedName name="dýhajednokřídlé" localSheetId="1">'dveře prosklené'!$AG$19</definedName>
    <definedName name="dýhajednokřídlé">'dveře plné'!$AF$19</definedName>
    <definedName name="fólie" localSheetId="1">'dveře prosklené'!$X$14</definedName>
    <definedName name="fólie">'dveře plné'!$W$14</definedName>
    <definedName name="fóliedvoukřídlé" localSheetId="1">'dveře prosklené'!$AD$19</definedName>
    <definedName name="fóliedvoukřídlé">'dveře plné'!$AC$19</definedName>
    <definedName name="fóliejednokřídlé" localSheetId="1">'dveře prosklené'!$AC$19:$AC$20</definedName>
    <definedName name="fóliejednokřídlé">'dveře plné'!$AB$19:$AB$20</definedName>
    <definedName name="jednokřídlé" localSheetId="1">'dveře prosklené'!$X$26:$X$29</definedName>
    <definedName name="jednokřídlé">'dveře plné'!$W$26:$W$30</definedName>
    <definedName name="_xlnm.Print_Area" localSheetId="0">'dveře plné'!$A$1:$K$85</definedName>
    <definedName name="_xlnm.Print_Area" localSheetId="1">'dveře prosklené'!$A$1:$K$86</definedName>
    <definedName name="povrch" localSheetId="1">'dveře prosklené'!$W$14:$W$17</definedName>
    <definedName name="povrch">'dveře plné'!$V$14:$V$17</definedName>
    <definedName name="provedení" localSheetId="1">'dveře prosklené'!$AB$19:$AB$26</definedName>
    <definedName name="provedení">'dveře plné'!$AA$19:$AA$26</definedName>
    <definedName name="RAL" localSheetId="1">'dveře prosklené'!$AA$14:$AA$23</definedName>
    <definedName name="RAL">'dveře plné'!$Z$14:$Z$23</definedName>
    <definedName name="RALdvoukřídlé" localSheetId="1">'dveře prosklené'!$AJ$19</definedName>
    <definedName name="RALdvoukřídlé">'dveře plné'!$AI$19</definedName>
    <definedName name="RALjednokřídlé" localSheetId="1">'dveře prosklené'!$AI$19</definedName>
    <definedName name="RALjednokřídlé">'dveře plné'!$AH$19</definedName>
    <definedName name="typ" localSheetId="1">'dveře prosklené'!$W$26:$W$27</definedName>
    <definedName name="typ">'dveře plné'!$V$26:$V$27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77" i="5" l="1"/>
  <c r="T77" i="5"/>
  <c r="S77" i="5"/>
  <c r="R77" i="5"/>
  <c r="U68" i="5"/>
  <c r="T68" i="5"/>
  <c r="S68" i="5"/>
  <c r="R68" i="5"/>
  <c r="U59" i="5"/>
  <c r="T59" i="5"/>
  <c r="S59" i="5"/>
  <c r="R59" i="5"/>
  <c r="U50" i="5"/>
  <c r="T50" i="5"/>
  <c r="S50" i="5"/>
  <c r="R50" i="5"/>
  <c r="U36" i="5"/>
  <c r="T36" i="5"/>
  <c r="S36" i="5"/>
  <c r="R36" i="5"/>
  <c r="U27" i="5"/>
  <c r="T27" i="5"/>
  <c r="S27" i="5"/>
  <c r="R27" i="5"/>
  <c r="U18" i="5"/>
  <c r="T18" i="5"/>
  <c r="S18" i="5"/>
  <c r="R18" i="5"/>
  <c r="T77" i="4"/>
  <c r="S77" i="4"/>
  <c r="R77" i="4"/>
  <c r="Q77" i="4"/>
  <c r="T68" i="4"/>
  <c r="S68" i="4"/>
  <c r="R68" i="4"/>
  <c r="Q68" i="4"/>
  <c r="T59" i="4"/>
  <c r="S59" i="4"/>
  <c r="R59" i="4"/>
  <c r="Q59" i="4"/>
  <c r="T50" i="4"/>
  <c r="S50" i="4"/>
  <c r="R50" i="4"/>
  <c r="Q50" i="4"/>
  <c r="T36" i="4"/>
  <c r="S36" i="4"/>
  <c r="R36" i="4"/>
  <c r="Q36" i="4"/>
  <c r="T27" i="4"/>
  <c r="S27" i="4"/>
  <c r="R27" i="4"/>
  <c r="Q27" i="4"/>
  <c r="T18" i="4"/>
  <c r="S18" i="4"/>
  <c r="R18" i="4"/>
  <c r="Q18" i="4"/>
  <c r="J39" i="4"/>
  <c r="J81" i="4"/>
  <c r="J80" i="4"/>
  <c r="C75" i="5"/>
  <c r="C66" i="5"/>
  <c r="C57" i="5"/>
  <c r="C48" i="5"/>
  <c r="C34" i="5"/>
  <c r="C25" i="5"/>
  <c r="K79" i="5"/>
  <c r="H78" i="5"/>
  <c r="F78" i="5"/>
  <c r="E78" i="5"/>
  <c r="C78" i="5"/>
  <c r="H75" i="5"/>
  <c r="F75" i="5"/>
  <c r="E75" i="5"/>
  <c r="K70" i="5"/>
  <c r="H69" i="5"/>
  <c r="F69" i="5"/>
  <c r="E69" i="5"/>
  <c r="C69" i="5"/>
  <c r="H66" i="5"/>
  <c r="F66" i="5"/>
  <c r="E66" i="5"/>
  <c r="K61" i="5"/>
  <c r="H60" i="5"/>
  <c r="F60" i="5"/>
  <c r="E60" i="5"/>
  <c r="C60" i="5"/>
  <c r="H57" i="5"/>
  <c r="F57" i="5"/>
  <c r="E57" i="5"/>
  <c r="K52" i="5"/>
  <c r="H51" i="5"/>
  <c r="F51" i="5"/>
  <c r="E51" i="5"/>
  <c r="C51" i="5"/>
  <c r="H48" i="5"/>
  <c r="F48" i="5"/>
  <c r="E48" i="5"/>
  <c r="K38" i="5"/>
  <c r="H37" i="5"/>
  <c r="F37" i="5"/>
  <c r="E37" i="5"/>
  <c r="C37" i="5"/>
  <c r="H34" i="5"/>
  <c r="F34" i="5"/>
  <c r="E34" i="5"/>
  <c r="H28" i="5"/>
  <c r="F28" i="5"/>
  <c r="E28" i="5"/>
  <c r="C28" i="5"/>
  <c r="H25" i="5"/>
  <c r="F25" i="5"/>
  <c r="E25" i="5"/>
  <c r="T73" i="5"/>
  <c r="S73" i="5"/>
  <c r="S72" i="5"/>
  <c r="S71" i="5"/>
  <c r="T64" i="5"/>
  <c r="S64" i="5"/>
  <c r="S63" i="5"/>
  <c r="S62" i="5"/>
  <c r="T55" i="5"/>
  <c r="S55" i="5"/>
  <c r="S54" i="5"/>
  <c r="S53" i="5"/>
  <c r="T46" i="5"/>
  <c r="S46" i="5"/>
  <c r="S45" i="5"/>
  <c r="S44" i="5"/>
  <c r="T32" i="5"/>
  <c r="S32" i="5"/>
  <c r="S31" i="5"/>
  <c r="S30" i="5"/>
  <c r="T23" i="5"/>
  <c r="S23" i="5"/>
  <c r="S22" i="5"/>
  <c r="S21" i="5"/>
  <c r="T14" i="5"/>
  <c r="S14" i="5"/>
  <c r="S13" i="5"/>
  <c r="S12" i="5"/>
  <c r="K77" i="5" l="1"/>
  <c r="K78" i="5" s="1"/>
  <c r="K68" i="5"/>
  <c r="K69" i="5" s="1"/>
  <c r="K59" i="5"/>
  <c r="K60" i="5" s="1"/>
  <c r="K50" i="5"/>
  <c r="K51" i="5" s="1"/>
  <c r="K36" i="5"/>
  <c r="K37" i="5" s="1"/>
  <c r="K34" i="5"/>
  <c r="K27" i="5"/>
  <c r="K28" i="5" s="1"/>
  <c r="K29" i="5" s="1"/>
  <c r="K25" i="5"/>
  <c r="K75" i="5"/>
  <c r="K66" i="5"/>
  <c r="K57" i="5"/>
  <c r="K48" i="5"/>
  <c r="S74" i="5"/>
  <c r="K73" i="5" s="1"/>
  <c r="S65" i="5"/>
  <c r="K64" i="5" s="1"/>
  <c r="S56" i="5"/>
  <c r="K55" i="5" s="1"/>
  <c r="S47" i="5"/>
  <c r="K46" i="5" s="1"/>
  <c r="S33" i="5"/>
  <c r="K32" i="5" s="1"/>
  <c r="S24" i="5"/>
  <c r="K23" i="5" s="1"/>
  <c r="S15" i="5"/>
  <c r="K35" i="5" l="1"/>
  <c r="K26" i="5"/>
  <c r="K76" i="5"/>
  <c r="K67" i="5"/>
  <c r="K58" i="5"/>
  <c r="K49" i="5"/>
  <c r="K14" i="5" l="1"/>
  <c r="M8" i="6"/>
  <c r="I27" i="6"/>
  <c r="J27" i="6"/>
  <c r="I28" i="6"/>
  <c r="J28" i="6"/>
  <c r="I29" i="6"/>
  <c r="J29" i="6"/>
  <c r="I30" i="6"/>
  <c r="J30" i="6"/>
  <c r="F27" i="6"/>
  <c r="L6" i="6" s="1"/>
  <c r="G27" i="6"/>
  <c r="M6" i="6" s="1"/>
  <c r="F28" i="6"/>
  <c r="L7" i="6" s="1"/>
  <c r="G28" i="6"/>
  <c r="M7" i="6" s="1"/>
  <c r="F29" i="6"/>
  <c r="L8" i="6" s="1"/>
  <c r="G29" i="6"/>
  <c r="F30" i="6"/>
  <c r="L9" i="6" s="1"/>
  <c r="G30" i="6"/>
  <c r="M9" i="6" s="1"/>
  <c r="C27" i="6"/>
  <c r="D27" i="6"/>
  <c r="C28" i="6"/>
  <c r="D28" i="6"/>
  <c r="C29" i="6"/>
  <c r="D29" i="6"/>
  <c r="C30" i="6"/>
  <c r="D30" i="6"/>
  <c r="J26" i="6"/>
  <c r="I26" i="6"/>
  <c r="G26" i="6"/>
  <c r="M5" i="6" s="1"/>
  <c r="F26" i="6"/>
  <c r="L5" i="6" s="1"/>
  <c r="D26" i="6"/>
  <c r="C26" i="6"/>
  <c r="C51" i="4"/>
  <c r="S72" i="4" l="1"/>
  <c r="K72" i="4" s="1"/>
  <c r="R72" i="4"/>
  <c r="R71" i="4"/>
  <c r="S63" i="4"/>
  <c r="K63" i="4" s="1"/>
  <c r="R63" i="4"/>
  <c r="R62" i="4"/>
  <c r="S54" i="4"/>
  <c r="K54" i="4" s="1"/>
  <c r="R54" i="4"/>
  <c r="R53" i="4"/>
  <c r="S45" i="4"/>
  <c r="K45" i="4" s="1"/>
  <c r="R45" i="4"/>
  <c r="R44" i="4"/>
  <c r="S31" i="4"/>
  <c r="R31" i="4"/>
  <c r="R30" i="4"/>
  <c r="S22" i="4"/>
  <c r="R22" i="4"/>
  <c r="R21" i="4"/>
  <c r="K79" i="4"/>
  <c r="R79" i="4" s="1"/>
  <c r="H78" i="4"/>
  <c r="F78" i="4"/>
  <c r="E78" i="4"/>
  <c r="C78" i="4"/>
  <c r="H75" i="4"/>
  <c r="F75" i="4"/>
  <c r="E75" i="4"/>
  <c r="D75" i="4"/>
  <c r="C75" i="4"/>
  <c r="K70" i="4"/>
  <c r="R70" i="4" s="1"/>
  <c r="H69" i="4"/>
  <c r="F69" i="4"/>
  <c r="E69" i="4"/>
  <c r="C69" i="4"/>
  <c r="H66" i="4"/>
  <c r="F66" i="4"/>
  <c r="E66" i="4"/>
  <c r="D66" i="4"/>
  <c r="C66" i="4"/>
  <c r="K61" i="4"/>
  <c r="R61" i="4" s="1"/>
  <c r="H60" i="4"/>
  <c r="F60" i="4"/>
  <c r="E60" i="4"/>
  <c r="C60" i="4"/>
  <c r="H57" i="4"/>
  <c r="F57" i="4"/>
  <c r="E57" i="4"/>
  <c r="D57" i="4"/>
  <c r="C57" i="4"/>
  <c r="H51" i="4"/>
  <c r="F51" i="4"/>
  <c r="E51" i="4"/>
  <c r="H48" i="4"/>
  <c r="F48" i="4"/>
  <c r="E48" i="4"/>
  <c r="D48" i="4"/>
  <c r="C48" i="4"/>
  <c r="K66" i="4" l="1"/>
  <c r="K67" i="4" s="1"/>
  <c r="K68" i="4"/>
  <c r="K69" i="4" s="1"/>
  <c r="K57" i="4"/>
  <c r="K58" i="4" s="1"/>
  <c r="K77" i="4"/>
  <c r="K78" i="4" s="1"/>
  <c r="K59" i="4"/>
  <c r="K60" i="4" s="1"/>
  <c r="K75" i="4"/>
  <c r="K76" i="4" s="1"/>
  <c r="K48" i="4"/>
  <c r="K49" i="4" s="1"/>
  <c r="K50" i="4"/>
  <c r="K51" i="4" s="1"/>
  <c r="K52" i="4" s="1"/>
  <c r="R52" i="4" s="1"/>
  <c r="K80" i="4" s="1"/>
  <c r="J80" i="5" l="1"/>
  <c r="S70" i="5"/>
  <c r="S61" i="5"/>
  <c r="S52" i="5" l="1"/>
  <c r="J39" i="5" l="1"/>
  <c r="J81" i="5" s="1"/>
  <c r="S38" i="5"/>
  <c r="S29" i="5" l="1"/>
  <c r="J14" i="6" l="1"/>
  <c r="I14" i="6"/>
  <c r="G14" i="6"/>
  <c r="F14" i="6"/>
  <c r="D14" i="6"/>
  <c r="C14" i="6"/>
  <c r="J13" i="6"/>
  <c r="I13" i="6"/>
  <c r="G13" i="6"/>
  <c r="F13" i="6"/>
  <c r="D13" i="6"/>
  <c r="C13" i="6"/>
  <c r="J12" i="6"/>
  <c r="I12" i="6"/>
  <c r="G12" i="6"/>
  <c r="F12" i="6"/>
  <c r="D12" i="6"/>
  <c r="C12" i="6"/>
  <c r="J11" i="6"/>
  <c r="I11" i="6"/>
  <c r="G11" i="6"/>
  <c r="F11" i="6"/>
  <c r="D11" i="6"/>
  <c r="C11" i="6"/>
  <c r="J10" i="6"/>
  <c r="I10" i="6"/>
  <c r="G10" i="6"/>
  <c r="F10" i="6"/>
  <c r="D10" i="6"/>
  <c r="C10" i="6"/>
  <c r="J18" i="6" l="1"/>
  <c r="J34" i="6"/>
  <c r="C16" i="6"/>
  <c r="C32" i="6"/>
  <c r="G17" i="6"/>
  <c r="G33" i="6"/>
  <c r="M12" i="6" s="1"/>
  <c r="C15" i="6"/>
  <c r="C31" i="6"/>
  <c r="C19" i="6"/>
  <c r="C35" i="6"/>
  <c r="G15" i="6"/>
  <c r="G31" i="6"/>
  <c r="M10" i="6" s="1"/>
  <c r="F17" i="6"/>
  <c r="F33" i="6"/>
  <c r="L12" i="6" s="1"/>
  <c r="D16" i="6"/>
  <c r="D32" i="6"/>
  <c r="I17" i="6"/>
  <c r="I33" i="6"/>
  <c r="D15" i="6"/>
  <c r="D31" i="6"/>
  <c r="J17" i="6"/>
  <c r="J33" i="6"/>
  <c r="C18" i="6"/>
  <c r="C34" i="6"/>
  <c r="F18" i="6"/>
  <c r="F34" i="6"/>
  <c r="L13" i="6" s="1"/>
  <c r="F16" i="6"/>
  <c r="F32" i="6"/>
  <c r="L11" i="6" s="1"/>
  <c r="G16" i="6"/>
  <c r="G32" i="6"/>
  <c r="M11" i="6" s="1"/>
  <c r="D19" i="6"/>
  <c r="D35" i="6"/>
  <c r="F15" i="6"/>
  <c r="F31" i="6"/>
  <c r="L10" i="6" s="1"/>
  <c r="I16" i="6"/>
  <c r="I32" i="6"/>
  <c r="F19" i="6"/>
  <c r="F35" i="6"/>
  <c r="L14" i="6" s="1"/>
  <c r="J16" i="6"/>
  <c r="J32" i="6"/>
  <c r="D18" i="6"/>
  <c r="D34" i="6"/>
  <c r="G19" i="6"/>
  <c r="G35" i="6"/>
  <c r="M14" i="6" s="1"/>
  <c r="I15" i="6"/>
  <c r="I31" i="6"/>
  <c r="C17" i="6"/>
  <c r="C33" i="6"/>
  <c r="I19" i="6"/>
  <c r="I35" i="6"/>
  <c r="J15" i="6"/>
  <c r="J31" i="6"/>
  <c r="D17" i="6"/>
  <c r="D33" i="6"/>
  <c r="G18" i="6"/>
  <c r="G34" i="6"/>
  <c r="M13" i="6" s="1"/>
  <c r="J19" i="6"/>
  <c r="J35" i="6"/>
  <c r="I18" i="6"/>
  <c r="I34" i="6"/>
  <c r="X67" i="5"/>
  <c r="Y67" i="5" s="1"/>
  <c r="X66" i="5"/>
  <c r="Y66" i="5" s="1"/>
  <c r="X65" i="5"/>
  <c r="Y65" i="5" s="1"/>
  <c r="X64" i="5"/>
  <c r="Y64" i="5" s="1"/>
  <c r="X63" i="5"/>
  <c r="Y63" i="5" s="1"/>
  <c r="X62" i="5"/>
  <c r="Y62" i="5" s="1"/>
  <c r="X61" i="5"/>
  <c r="Y61" i="5" s="1"/>
  <c r="X60" i="5"/>
  <c r="Y60" i="5" s="1"/>
  <c r="X59" i="5"/>
  <c r="Y59" i="5" s="1"/>
  <c r="X58" i="5"/>
  <c r="Y58" i="5" s="1"/>
  <c r="X57" i="5"/>
  <c r="Y57" i="5" s="1"/>
  <c r="X56" i="5"/>
  <c r="Y56" i="5" s="1"/>
  <c r="X55" i="5"/>
  <c r="Y55" i="5" s="1"/>
  <c r="X54" i="5"/>
  <c r="Y54" i="5" s="1"/>
  <c r="H19" i="5"/>
  <c r="F19" i="5"/>
  <c r="H16" i="5"/>
  <c r="F16" i="5"/>
  <c r="E16" i="5"/>
  <c r="C16" i="5"/>
  <c r="C19" i="5"/>
  <c r="S79" i="5" l="1"/>
  <c r="K80" i="5" s="1"/>
  <c r="C20" i="6"/>
  <c r="C41" i="6" s="1"/>
  <c r="C36" i="6"/>
  <c r="C22" i="6"/>
  <c r="C43" i="6" s="1"/>
  <c r="C38" i="6"/>
  <c r="J21" i="6"/>
  <c r="J42" i="6" s="1"/>
  <c r="J37" i="6"/>
  <c r="F24" i="6"/>
  <c r="F45" i="6" s="1"/>
  <c r="L24" i="6" s="1"/>
  <c r="F40" i="6"/>
  <c r="L19" i="6" s="1"/>
  <c r="G21" i="6"/>
  <c r="G42" i="6" s="1"/>
  <c r="M21" i="6" s="1"/>
  <c r="G37" i="6"/>
  <c r="M16" i="6" s="1"/>
  <c r="J22" i="6"/>
  <c r="J43" i="6" s="1"/>
  <c r="J38" i="6"/>
  <c r="F22" i="6"/>
  <c r="F43" i="6" s="1"/>
  <c r="L22" i="6" s="1"/>
  <c r="F38" i="6"/>
  <c r="L17" i="6" s="1"/>
  <c r="G22" i="6"/>
  <c r="G43" i="6" s="1"/>
  <c r="M22" i="6" s="1"/>
  <c r="G38" i="6"/>
  <c r="M17" i="6" s="1"/>
  <c r="C23" i="6"/>
  <c r="C44" i="6" s="1"/>
  <c r="C39" i="6"/>
  <c r="I20" i="6"/>
  <c r="I41" i="6" s="1"/>
  <c r="I36" i="6"/>
  <c r="G23" i="6"/>
  <c r="G44" i="6" s="1"/>
  <c r="M23" i="6" s="1"/>
  <c r="G39" i="6"/>
  <c r="M18" i="6" s="1"/>
  <c r="I23" i="6"/>
  <c r="I44" i="6" s="1"/>
  <c r="I39" i="6"/>
  <c r="I21" i="6"/>
  <c r="I42" i="6" s="1"/>
  <c r="I37" i="6"/>
  <c r="F21" i="6"/>
  <c r="F42" i="6" s="1"/>
  <c r="L21" i="6" s="1"/>
  <c r="F37" i="6"/>
  <c r="L16" i="6" s="1"/>
  <c r="D20" i="6"/>
  <c r="D41" i="6" s="1"/>
  <c r="D36" i="6"/>
  <c r="G20" i="6"/>
  <c r="G41" i="6" s="1"/>
  <c r="M20" i="6" s="1"/>
  <c r="G36" i="6"/>
  <c r="M15" i="6" s="1"/>
  <c r="C21" i="6"/>
  <c r="C42" i="6" s="1"/>
  <c r="C37" i="6"/>
  <c r="D21" i="6"/>
  <c r="D42" i="6" s="1"/>
  <c r="D37" i="6"/>
  <c r="D22" i="6"/>
  <c r="D43" i="6" s="1"/>
  <c r="D38" i="6"/>
  <c r="J20" i="6"/>
  <c r="J41" i="6" s="1"/>
  <c r="J36" i="6"/>
  <c r="D24" i="6"/>
  <c r="D45" i="6" s="1"/>
  <c r="D40" i="6"/>
  <c r="G24" i="6"/>
  <c r="G45" i="6" s="1"/>
  <c r="M24" i="6" s="1"/>
  <c r="G40" i="6"/>
  <c r="M19" i="6" s="1"/>
  <c r="J24" i="6"/>
  <c r="J45" i="6" s="1"/>
  <c r="J40" i="6"/>
  <c r="I24" i="6"/>
  <c r="I45" i="6" s="1"/>
  <c r="I40" i="6"/>
  <c r="D23" i="6"/>
  <c r="D44" i="6" s="1"/>
  <c r="D39" i="6"/>
  <c r="F20" i="6"/>
  <c r="F41" i="6" s="1"/>
  <c r="L20" i="6" s="1"/>
  <c r="F36" i="6"/>
  <c r="L15" i="6" s="1"/>
  <c r="F23" i="6"/>
  <c r="F44" i="6" s="1"/>
  <c r="L23" i="6" s="1"/>
  <c r="F39" i="6"/>
  <c r="L18" i="6" s="1"/>
  <c r="I22" i="6"/>
  <c r="I43" i="6" s="1"/>
  <c r="I38" i="6"/>
  <c r="C24" i="6"/>
  <c r="C45" i="6" s="1"/>
  <c r="C40" i="6"/>
  <c r="J23" i="6"/>
  <c r="J44" i="6" s="1"/>
  <c r="J39" i="6"/>
  <c r="E19" i="5"/>
  <c r="K18" i="5" s="1"/>
  <c r="K16" i="5"/>
  <c r="H37" i="4"/>
  <c r="F37" i="4"/>
  <c r="E37" i="4"/>
  <c r="C37" i="4"/>
  <c r="H34" i="4"/>
  <c r="F34" i="4"/>
  <c r="E34" i="4"/>
  <c r="D34" i="4"/>
  <c r="C34" i="4"/>
  <c r="K31" i="4"/>
  <c r="H28" i="4"/>
  <c r="F28" i="4"/>
  <c r="E28" i="4"/>
  <c r="H25" i="4"/>
  <c r="F25" i="4"/>
  <c r="E25" i="4"/>
  <c r="D25" i="4"/>
  <c r="C25" i="4"/>
  <c r="K22" i="4"/>
  <c r="C28" i="4"/>
  <c r="H19" i="4"/>
  <c r="F19" i="4"/>
  <c r="W67" i="4"/>
  <c r="X67" i="4" s="1"/>
  <c r="W66" i="4"/>
  <c r="X66" i="4" s="1"/>
  <c r="W65" i="4"/>
  <c r="X65" i="4" s="1"/>
  <c r="W64" i="4"/>
  <c r="X64" i="4" s="1"/>
  <c r="W63" i="4"/>
  <c r="X63" i="4" s="1"/>
  <c r="W62" i="4"/>
  <c r="X62" i="4" s="1"/>
  <c r="W61" i="4"/>
  <c r="X61" i="4" s="1"/>
  <c r="W60" i="4"/>
  <c r="X60" i="4" s="1"/>
  <c r="W59" i="4"/>
  <c r="X59" i="4" s="1"/>
  <c r="W58" i="4"/>
  <c r="X58" i="4" s="1"/>
  <c r="W57" i="4"/>
  <c r="X57" i="4" s="1"/>
  <c r="W56" i="4"/>
  <c r="X56" i="4" s="1"/>
  <c r="W55" i="4"/>
  <c r="X55" i="4" s="1"/>
  <c r="W54" i="4"/>
  <c r="X54" i="4" s="1"/>
  <c r="R12" i="4"/>
  <c r="E19" i="4" s="1"/>
  <c r="R13" i="4"/>
  <c r="K36" i="4" l="1"/>
  <c r="K37" i="4" s="1"/>
  <c r="K38" i="4" s="1"/>
  <c r="R38" i="4" s="1"/>
  <c r="K34" i="4"/>
  <c r="K35" i="4" s="1"/>
  <c r="K27" i="4"/>
  <c r="K28" i="4" s="1"/>
  <c r="K29" i="4" s="1"/>
  <c r="R29" i="4" s="1"/>
  <c r="K25" i="4"/>
  <c r="K26" i="4" s="1"/>
  <c r="C19" i="4"/>
  <c r="K18" i="4" s="1"/>
  <c r="E16" i="4"/>
  <c r="H16" i="4"/>
  <c r="C16" i="4"/>
  <c r="F16" i="4"/>
  <c r="D16" i="4"/>
  <c r="S13" i="4"/>
  <c r="K13" i="4" s="1"/>
  <c r="K16" i="4" l="1"/>
  <c r="K17" i="4" s="1"/>
  <c r="K19" i="4" l="1"/>
  <c r="K20" i="4" s="1"/>
  <c r="R20" i="4" s="1"/>
  <c r="K17" i="5"/>
  <c r="K19" i="5" s="1"/>
  <c r="K20" i="5" s="1"/>
  <c r="S20" i="5" l="1"/>
  <c r="K39" i="5" s="1"/>
  <c r="K81" i="5" s="1"/>
  <c r="K39" i="4"/>
  <c r="K81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Ivana Svačinová</author>
  </authors>
  <commentList>
    <comment ref="R12" authorId="0" shapeId="0" xr:uid="{00000000-0006-0000-0000-000001000000}">
      <text>
        <r>
          <rPr>
            <sz val="9"/>
            <color indexed="81"/>
            <rFont val="Tahoma"/>
            <family val="2"/>
            <charset val="238"/>
          </rPr>
          <t xml:space="preserve">pomocné pro cenu potisku
</t>
        </r>
      </text>
    </comment>
    <comment ref="R13" authorId="0" shapeId="0" xr:uid="{00000000-0006-0000-0000-000002000000}">
      <text>
        <r>
          <rPr>
            <sz val="9"/>
            <color indexed="81"/>
            <rFont val="Tahoma"/>
            <family val="2"/>
            <charset val="238"/>
          </rPr>
          <t xml:space="preserve">pomocné 
pro provedení
</t>
        </r>
      </text>
    </comment>
    <comment ref="S13" authorId="0" shapeId="0" xr:uid="{00000000-0006-0000-0000-000003000000}">
      <text>
        <r>
          <rPr>
            <sz val="9"/>
            <color indexed="81"/>
            <rFont val="Tahoma"/>
            <family val="2"/>
            <charset val="238"/>
          </rPr>
          <t>pomocné 
pro cenu dveří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R21" authorId="0" shapeId="0" xr:uid="{00000000-0006-0000-0000-000004000000}">
      <text>
        <r>
          <rPr>
            <sz val="9"/>
            <color indexed="81"/>
            <rFont val="Tahoma"/>
            <family val="2"/>
            <charset val="238"/>
          </rPr>
          <t xml:space="preserve">pomocné pro cenu potisku
</t>
        </r>
      </text>
    </comment>
    <comment ref="R22" authorId="0" shapeId="0" xr:uid="{00000000-0006-0000-0000-000005000000}">
      <text>
        <r>
          <rPr>
            <sz val="9"/>
            <color indexed="81"/>
            <rFont val="Tahoma"/>
            <family val="2"/>
            <charset val="238"/>
          </rPr>
          <t xml:space="preserve">pomocné 
pro provedení
</t>
        </r>
      </text>
    </comment>
    <comment ref="S22" authorId="0" shapeId="0" xr:uid="{00000000-0006-0000-0000-000006000000}">
      <text>
        <r>
          <rPr>
            <sz val="9"/>
            <color indexed="81"/>
            <rFont val="Tahoma"/>
            <family val="2"/>
            <charset val="238"/>
          </rPr>
          <t>pomocné 
pro cenu dveří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R30" authorId="0" shapeId="0" xr:uid="{00000000-0006-0000-0000-000007000000}">
      <text>
        <r>
          <rPr>
            <sz val="9"/>
            <color indexed="81"/>
            <rFont val="Tahoma"/>
            <family val="2"/>
            <charset val="238"/>
          </rPr>
          <t xml:space="preserve">pomocné pro cenu potisku
</t>
        </r>
      </text>
    </comment>
    <comment ref="R31" authorId="0" shapeId="0" xr:uid="{00000000-0006-0000-0000-000008000000}">
      <text>
        <r>
          <rPr>
            <sz val="9"/>
            <color indexed="81"/>
            <rFont val="Tahoma"/>
            <family val="2"/>
            <charset val="238"/>
          </rPr>
          <t xml:space="preserve">pomocné 
pro provedení
</t>
        </r>
      </text>
    </comment>
    <comment ref="S31" authorId="0" shapeId="0" xr:uid="{00000000-0006-0000-0000-000009000000}">
      <text>
        <r>
          <rPr>
            <sz val="9"/>
            <color indexed="81"/>
            <rFont val="Tahoma"/>
            <family val="2"/>
            <charset val="238"/>
          </rPr>
          <t>pomocné 
pro cenu dveří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R44" authorId="0" shapeId="0" xr:uid="{00000000-0006-0000-0000-00000A000000}">
      <text>
        <r>
          <rPr>
            <sz val="9"/>
            <color indexed="81"/>
            <rFont val="Tahoma"/>
            <family val="2"/>
            <charset val="238"/>
          </rPr>
          <t xml:space="preserve">pomocné pro cenu potisku
</t>
        </r>
      </text>
    </comment>
    <comment ref="R45" authorId="0" shapeId="0" xr:uid="{00000000-0006-0000-0000-00000B000000}">
      <text>
        <r>
          <rPr>
            <sz val="9"/>
            <color indexed="81"/>
            <rFont val="Tahoma"/>
            <family val="2"/>
            <charset val="238"/>
          </rPr>
          <t xml:space="preserve">pomocné 
pro provedení
</t>
        </r>
      </text>
    </comment>
    <comment ref="S45" authorId="0" shapeId="0" xr:uid="{00000000-0006-0000-0000-00000C000000}">
      <text>
        <r>
          <rPr>
            <sz val="9"/>
            <color indexed="81"/>
            <rFont val="Tahoma"/>
            <family val="2"/>
            <charset val="238"/>
          </rPr>
          <t>pomocné 
pro cenu dveří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R53" authorId="0" shapeId="0" xr:uid="{00000000-0006-0000-0000-00000D000000}">
      <text>
        <r>
          <rPr>
            <sz val="9"/>
            <color indexed="81"/>
            <rFont val="Tahoma"/>
            <family val="2"/>
            <charset val="238"/>
          </rPr>
          <t xml:space="preserve">pomocné pro cenu potisku
</t>
        </r>
      </text>
    </comment>
    <comment ref="R54" authorId="0" shapeId="0" xr:uid="{00000000-0006-0000-0000-00000E000000}">
      <text>
        <r>
          <rPr>
            <sz val="9"/>
            <color indexed="81"/>
            <rFont val="Tahoma"/>
            <family val="2"/>
            <charset val="238"/>
          </rPr>
          <t xml:space="preserve">pomocné 
pro provedení
</t>
        </r>
      </text>
    </comment>
    <comment ref="S54" authorId="0" shapeId="0" xr:uid="{00000000-0006-0000-0000-00000F000000}">
      <text>
        <r>
          <rPr>
            <sz val="9"/>
            <color indexed="81"/>
            <rFont val="Tahoma"/>
            <family val="2"/>
            <charset val="238"/>
          </rPr>
          <t>pomocné 
pro cenu dveří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R62" authorId="0" shapeId="0" xr:uid="{00000000-0006-0000-0000-000010000000}">
      <text>
        <r>
          <rPr>
            <sz val="9"/>
            <color indexed="81"/>
            <rFont val="Tahoma"/>
            <family val="2"/>
            <charset val="238"/>
          </rPr>
          <t xml:space="preserve">pomocné pro cenu potisku
</t>
        </r>
      </text>
    </comment>
    <comment ref="R63" authorId="0" shapeId="0" xr:uid="{00000000-0006-0000-0000-000011000000}">
      <text>
        <r>
          <rPr>
            <sz val="9"/>
            <color indexed="81"/>
            <rFont val="Tahoma"/>
            <family val="2"/>
            <charset val="238"/>
          </rPr>
          <t xml:space="preserve">pomocné 
pro provedení
</t>
        </r>
      </text>
    </comment>
    <comment ref="S63" authorId="0" shapeId="0" xr:uid="{00000000-0006-0000-0000-000012000000}">
      <text>
        <r>
          <rPr>
            <sz val="9"/>
            <color indexed="81"/>
            <rFont val="Tahoma"/>
            <family val="2"/>
            <charset val="238"/>
          </rPr>
          <t>pomocné 
pro cenu dveří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X64" authorId="0" shapeId="0" xr:uid="{00000000-0006-0000-0000-000013000000}">
      <text>
        <r>
          <rPr>
            <sz val="9"/>
            <color indexed="81"/>
            <rFont val="Tahoma"/>
            <family val="2"/>
            <charset val="238"/>
          </rPr>
          <t xml:space="preserve">cena pro jedno křídlo
</t>
        </r>
      </text>
    </comment>
    <comment ref="X65" authorId="0" shapeId="0" xr:uid="{00000000-0006-0000-0000-000014000000}">
      <text>
        <r>
          <rPr>
            <sz val="9"/>
            <color indexed="81"/>
            <rFont val="Tahoma"/>
            <family val="2"/>
            <charset val="238"/>
          </rPr>
          <t xml:space="preserve">cena pro jedno křídlo
</t>
        </r>
      </text>
    </comment>
    <comment ref="X66" authorId="0" shapeId="0" xr:uid="{00000000-0006-0000-0000-000015000000}">
      <text>
        <r>
          <rPr>
            <sz val="9"/>
            <color indexed="81"/>
            <rFont val="Tahoma"/>
            <family val="2"/>
            <charset val="238"/>
          </rPr>
          <t xml:space="preserve">cena pro jedno křídlo
</t>
        </r>
      </text>
    </comment>
    <comment ref="X67" authorId="0" shapeId="0" xr:uid="{00000000-0006-0000-0000-000016000000}">
      <text>
        <r>
          <rPr>
            <sz val="9"/>
            <color indexed="81"/>
            <rFont val="Tahoma"/>
            <family val="2"/>
            <charset val="238"/>
          </rPr>
          <t xml:space="preserve">cena pro jedno křídlo
</t>
        </r>
      </text>
    </comment>
    <comment ref="R71" authorId="0" shapeId="0" xr:uid="{00000000-0006-0000-0000-000017000000}">
      <text>
        <r>
          <rPr>
            <sz val="9"/>
            <color indexed="81"/>
            <rFont val="Tahoma"/>
            <family val="2"/>
            <charset val="238"/>
          </rPr>
          <t xml:space="preserve">pomocné pro cenu potisku
</t>
        </r>
      </text>
    </comment>
    <comment ref="R72" authorId="0" shapeId="0" xr:uid="{00000000-0006-0000-0000-000018000000}">
      <text>
        <r>
          <rPr>
            <sz val="9"/>
            <color indexed="81"/>
            <rFont val="Tahoma"/>
            <family val="2"/>
            <charset val="238"/>
          </rPr>
          <t xml:space="preserve">pomocné 
pro provedení
</t>
        </r>
      </text>
    </comment>
    <comment ref="S72" authorId="0" shapeId="0" xr:uid="{00000000-0006-0000-0000-000019000000}">
      <text>
        <r>
          <rPr>
            <sz val="9"/>
            <color indexed="81"/>
            <rFont val="Tahoma"/>
            <family val="2"/>
            <charset val="238"/>
          </rPr>
          <t>pomocné 
pro cenu dveří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Ivana Svačinová</author>
  </authors>
  <commentList>
    <comment ref="S12" authorId="0" shapeId="0" xr:uid="{39F9DFEF-12B0-40F4-9365-262978CE6267}">
      <text>
        <r>
          <rPr>
            <sz val="9"/>
            <color indexed="81"/>
            <rFont val="Tahoma"/>
            <family val="2"/>
            <charset val="238"/>
          </rPr>
          <t xml:space="preserve">pomocné pro cenu potisku
</t>
        </r>
      </text>
    </comment>
    <comment ref="S13" authorId="0" shapeId="0" xr:uid="{F7B7FA4B-C2AC-4DE2-9716-AA9FEAB7C2F8}">
      <text>
        <r>
          <rPr>
            <sz val="9"/>
            <color indexed="81"/>
            <rFont val="Tahoma"/>
            <family val="2"/>
            <charset val="238"/>
          </rPr>
          <t xml:space="preserve">pomocné 
pro provedení
</t>
        </r>
      </text>
    </comment>
    <comment ref="S21" authorId="0" shapeId="0" xr:uid="{322F495E-5594-4F29-9EB7-EC7E5E109C7F}">
      <text>
        <r>
          <rPr>
            <sz val="9"/>
            <color indexed="81"/>
            <rFont val="Tahoma"/>
            <family val="2"/>
            <charset val="238"/>
          </rPr>
          <t xml:space="preserve">pomocné pro cenu potisku
</t>
        </r>
      </text>
    </comment>
    <comment ref="S22" authorId="0" shapeId="0" xr:uid="{9561234E-E606-4A14-87BD-C1A69AD868C0}">
      <text>
        <r>
          <rPr>
            <sz val="9"/>
            <color indexed="81"/>
            <rFont val="Tahoma"/>
            <family val="2"/>
            <charset val="238"/>
          </rPr>
          <t xml:space="preserve">pomocné 
pro provedení
</t>
        </r>
      </text>
    </comment>
    <comment ref="S30" authorId="0" shapeId="0" xr:uid="{3E66F76D-96B9-4EDD-979E-3C8A36D80BC9}">
      <text>
        <r>
          <rPr>
            <sz val="9"/>
            <color indexed="81"/>
            <rFont val="Tahoma"/>
            <family val="2"/>
            <charset val="238"/>
          </rPr>
          <t xml:space="preserve">pomocné pro cenu potisku
</t>
        </r>
      </text>
    </comment>
    <comment ref="S31" authorId="0" shapeId="0" xr:uid="{53D004D7-776C-4470-8393-2D05D243F835}">
      <text>
        <r>
          <rPr>
            <sz val="9"/>
            <color indexed="81"/>
            <rFont val="Tahoma"/>
            <family val="2"/>
            <charset val="238"/>
          </rPr>
          <t xml:space="preserve">pomocné 
pro provedení
</t>
        </r>
      </text>
    </comment>
    <comment ref="S44" authorId="0" shapeId="0" xr:uid="{4B52632A-8342-4F69-911A-2E87B96D9C50}">
      <text>
        <r>
          <rPr>
            <sz val="9"/>
            <color indexed="81"/>
            <rFont val="Tahoma"/>
            <family val="2"/>
            <charset val="238"/>
          </rPr>
          <t xml:space="preserve">pomocné pro cenu potisku
</t>
        </r>
      </text>
    </comment>
    <comment ref="S45" authorId="0" shapeId="0" xr:uid="{31B9AA0B-CC64-446E-84EE-70B70792C7AF}">
      <text>
        <r>
          <rPr>
            <sz val="9"/>
            <color indexed="81"/>
            <rFont val="Tahoma"/>
            <family val="2"/>
            <charset val="238"/>
          </rPr>
          <t xml:space="preserve">pomocné 
pro provedení
</t>
        </r>
      </text>
    </comment>
    <comment ref="S53" authorId="0" shapeId="0" xr:uid="{C705C2ED-8D73-4B64-8479-AC410701F3D5}">
      <text>
        <r>
          <rPr>
            <sz val="9"/>
            <color indexed="81"/>
            <rFont val="Tahoma"/>
            <family val="2"/>
            <charset val="238"/>
          </rPr>
          <t xml:space="preserve">pomocné pro cenu potisku
</t>
        </r>
      </text>
    </comment>
    <comment ref="S54" authorId="0" shapeId="0" xr:uid="{4460493B-0BAF-42D5-AF05-C1B027E701EB}">
      <text>
        <r>
          <rPr>
            <sz val="9"/>
            <color indexed="81"/>
            <rFont val="Tahoma"/>
            <family val="2"/>
            <charset val="238"/>
          </rPr>
          <t xml:space="preserve">pomocné 
pro provedení
</t>
        </r>
      </text>
    </comment>
    <comment ref="S62" authorId="0" shapeId="0" xr:uid="{012B6C4E-2A17-4859-85AF-1AC97DC50176}">
      <text>
        <r>
          <rPr>
            <sz val="9"/>
            <color indexed="81"/>
            <rFont val="Tahoma"/>
            <family val="2"/>
            <charset val="238"/>
          </rPr>
          <t xml:space="preserve">pomocné pro cenu potisku
</t>
        </r>
      </text>
    </comment>
    <comment ref="S63" authorId="0" shapeId="0" xr:uid="{3BBA7ABA-9C5C-453B-8F93-DFAEF0842804}">
      <text>
        <r>
          <rPr>
            <sz val="9"/>
            <color indexed="81"/>
            <rFont val="Tahoma"/>
            <family val="2"/>
            <charset val="238"/>
          </rPr>
          <t xml:space="preserve">pomocné 
pro provedení
</t>
        </r>
      </text>
    </comment>
    <comment ref="Y64" authorId="0" shapeId="0" xr:uid="{00000000-0006-0000-0100-00000D000000}">
      <text>
        <r>
          <rPr>
            <sz val="9"/>
            <color indexed="81"/>
            <rFont val="Tahoma"/>
            <family val="2"/>
            <charset val="238"/>
          </rPr>
          <t xml:space="preserve">cena pro jedno křídlo
</t>
        </r>
      </text>
    </comment>
    <comment ref="Y65" authorId="0" shapeId="0" xr:uid="{00000000-0006-0000-0100-00000E000000}">
      <text>
        <r>
          <rPr>
            <sz val="9"/>
            <color indexed="81"/>
            <rFont val="Tahoma"/>
            <family val="2"/>
            <charset val="238"/>
          </rPr>
          <t xml:space="preserve">cena pro jedno křídlo
</t>
        </r>
      </text>
    </comment>
    <comment ref="Y66" authorId="0" shapeId="0" xr:uid="{00000000-0006-0000-0100-00000F000000}">
      <text>
        <r>
          <rPr>
            <sz val="9"/>
            <color indexed="81"/>
            <rFont val="Tahoma"/>
            <family val="2"/>
            <charset val="238"/>
          </rPr>
          <t xml:space="preserve">cena pro jedno křídlo
</t>
        </r>
      </text>
    </comment>
    <comment ref="Y67" authorId="0" shapeId="0" xr:uid="{00000000-0006-0000-0100-000010000000}">
      <text>
        <r>
          <rPr>
            <sz val="9"/>
            <color indexed="81"/>
            <rFont val="Tahoma"/>
            <family val="2"/>
            <charset val="238"/>
          </rPr>
          <t xml:space="preserve">cena pro jedno křídlo
</t>
        </r>
      </text>
    </comment>
    <comment ref="S71" authorId="0" shapeId="0" xr:uid="{C19E5870-FEFD-4B40-8605-486A4BD1EEA4}">
      <text>
        <r>
          <rPr>
            <sz val="9"/>
            <color indexed="81"/>
            <rFont val="Tahoma"/>
            <family val="2"/>
            <charset val="238"/>
          </rPr>
          <t xml:space="preserve">pomocné pro cenu potisku
</t>
        </r>
      </text>
    </comment>
    <comment ref="S72" authorId="0" shapeId="0" xr:uid="{A785A82F-BC4C-4B92-B003-3B2F504C320E}">
      <text>
        <r>
          <rPr>
            <sz val="9"/>
            <color indexed="81"/>
            <rFont val="Tahoma"/>
            <family val="2"/>
            <charset val="238"/>
          </rPr>
          <t xml:space="preserve">pomocné 
pro provedení
</t>
        </r>
      </text>
    </comment>
  </commentList>
</comments>
</file>

<file path=xl/sharedStrings.xml><?xml version="1.0" encoding="utf-8"?>
<sst xmlns="http://schemas.openxmlformats.org/spreadsheetml/2006/main" count="1013" uniqueCount="420">
  <si>
    <t>sklo 4</t>
  </si>
  <si>
    <t>sklo 3</t>
  </si>
  <si>
    <t>sklo 2</t>
  </si>
  <si>
    <t>sklo 1</t>
  </si>
  <si>
    <t>výplň</t>
  </si>
  <si>
    <t>zámek</t>
  </si>
  <si>
    <t>panty</t>
  </si>
  <si>
    <t>délka</t>
  </si>
  <si>
    <t>levé</t>
  </si>
  <si>
    <t>pravé</t>
  </si>
  <si>
    <t>provedení</t>
  </si>
  <si>
    <t>bříza</t>
  </si>
  <si>
    <t>antracit</t>
  </si>
  <si>
    <t>javor</t>
  </si>
  <si>
    <t>šedá</t>
  </si>
  <si>
    <t>dub</t>
  </si>
  <si>
    <t>bílá</t>
  </si>
  <si>
    <t>buk</t>
  </si>
  <si>
    <t>dýha</t>
  </si>
  <si>
    <t>povrch</t>
  </si>
  <si>
    <t>dvoukřídlé</t>
  </si>
  <si>
    <t>šířka</t>
  </si>
  <si>
    <t>orientace</t>
  </si>
  <si>
    <t>typ</t>
  </si>
  <si>
    <t>standard</t>
  </si>
  <si>
    <t>mřížka</t>
  </si>
  <si>
    <t>hliník stříbrný</t>
  </si>
  <si>
    <t>hliník bronz</t>
  </si>
  <si>
    <t>hliník titan</t>
  </si>
  <si>
    <t>hliník bílá</t>
  </si>
  <si>
    <t>hliník černá</t>
  </si>
  <si>
    <t>voština</t>
  </si>
  <si>
    <t>kukátko</t>
  </si>
  <si>
    <t>ano</t>
  </si>
  <si>
    <t>bílý</t>
  </si>
  <si>
    <t>černý</t>
  </si>
  <si>
    <t>72/77 klíč</t>
  </si>
  <si>
    <t>72/77 vložka</t>
  </si>
  <si>
    <t>72/77 WC</t>
  </si>
  <si>
    <t>90/80 klíč</t>
  </si>
  <si>
    <t>90/80 vložka</t>
  </si>
  <si>
    <t>90/80 WC</t>
  </si>
  <si>
    <t>černý 72/77 klíč</t>
  </si>
  <si>
    <t>černý 72/77 vložka</t>
  </si>
  <si>
    <t>černý 72/77 WC</t>
  </si>
  <si>
    <t>mezipokojový</t>
  </si>
  <si>
    <t>zinkovaný</t>
  </si>
  <si>
    <t>niklovaný</t>
  </si>
  <si>
    <t>pobronzovaný</t>
  </si>
  <si>
    <t>pomosazený</t>
  </si>
  <si>
    <t>nikl satinovaný</t>
  </si>
  <si>
    <t>CPL</t>
  </si>
  <si>
    <t>6021 bledězelená</t>
  </si>
  <si>
    <t>9001 krémová</t>
  </si>
  <si>
    <t>RAL</t>
  </si>
  <si>
    <t>dekor</t>
  </si>
  <si>
    <t>model</t>
  </si>
  <si>
    <t>fólie</t>
  </si>
  <si>
    <t>POJMENOVANÉ OBLASTI</t>
  </si>
  <si>
    <t>jednokřídlé</t>
  </si>
  <si>
    <t>Dfólie</t>
  </si>
  <si>
    <t>DCPL</t>
  </si>
  <si>
    <t>DRAL</t>
  </si>
  <si>
    <t>Ddýha</t>
  </si>
  <si>
    <t>fólie-1kř</t>
  </si>
  <si>
    <t>fólie-2kř</t>
  </si>
  <si>
    <t>CPL-1kř</t>
  </si>
  <si>
    <t>CPL-2kř</t>
  </si>
  <si>
    <t>dýha-1kř</t>
  </si>
  <si>
    <t>dýha-2kř</t>
  </si>
  <si>
    <t>RAL-1kř</t>
  </si>
  <si>
    <t>RAL-2kř</t>
  </si>
  <si>
    <t>fóliejednokřídlé</t>
  </si>
  <si>
    <t>CPLjednokřídlé</t>
  </si>
  <si>
    <t>RALjednokřídlé</t>
  </si>
  <si>
    <t>dýhajednokřídlé</t>
  </si>
  <si>
    <t>fóliedvoukřídlé</t>
  </si>
  <si>
    <t>CPLdvoukřídlé</t>
  </si>
  <si>
    <t>RALdvoukřídlé</t>
  </si>
  <si>
    <t>dýhadvoukřídlé</t>
  </si>
  <si>
    <t>2003 oranžová pastel</t>
  </si>
  <si>
    <t>1018  žlutá zinková</t>
  </si>
  <si>
    <t>3020 červená dopravní</t>
  </si>
  <si>
    <t>7032 šedá štěrková</t>
  </si>
  <si>
    <t>7047 šedá Tele 4</t>
  </si>
  <si>
    <t>9003 bílá signální</t>
  </si>
  <si>
    <t>9005 černá sytá</t>
  </si>
  <si>
    <t>5024 modrá pastelová</t>
  </si>
  <si>
    <t>oblá hrana</t>
  </si>
  <si>
    <t>výplň dveří</t>
  </si>
  <si>
    <t>DTD děrovaná</t>
  </si>
  <si>
    <t xml:space="preserve"> DTD plná</t>
  </si>
  <si>
    <t>ne</t>
  </si>
  <si>
    <t>mřížka 80x400 mm</t>
  </si>
  <si>
    <t>bez mřížky</t>
  </si>
  <si>
    <t>panty (odstín)</t>
  </si>
  <si>
    <t>druh zámku</t>
  </si>
  <si>
    <t>fólie60</t>
  </si>
  <si>
    <t>fólie70</t>
  </si>
  <si>
    <t>fólie80</t>
  </si>
  <si>
    <t>fólie90</t>
  </si>
  <si>
    <t>fólie110</t>
  </si>
  <si>
    <t>fólie125</t>
  </si>
  <si>
    <t>fólie145</t>
  </si>
  <si>
    <t>CPL60</t>
  </si>
  <si>
    <t>CPL70</t>
  </si>
  <si>
    <t>CPL80</t>
  </si>
  <si>
    <t>CPL90</t>
  </si>
  <si>
    <t>CPL110</t>
  </si>
  <si>
    <t>CPL125</t>
  </si>
  <si>
    <t>CPL145</t>
  </si>
  <si>
    <t>RAL60</t>
  </si>
  <si>
    <t>RAL70</t>
  </si>
  <si>
    <t>RAL80</t>
  </si>
  <si>
    <t>RAL90</t>
  </si>
  <si>
    <t>RAL110</t>
  </si>
  <si>
    <t>RAL125</t>
  </si>
  <si>
    <t>RAL145</t>
  </si>
  <si>
    <t>dýha60</t>
  </si>
  <si>
    <t>dýha70</t>
  </si>
  <si>
    <t>dýha110</t>
  </si>
  <si>
    <t>dýha125</t>
  </si>
  <si>
    <t>dýha145</t>
  </si>
  <si>
    <t>design</t>
  </si>
  <si>
    <t>potisk zadní strany</t>
  </si>
  <si>
    <t>potisk čelní strany druhého křídla</t>
  </si>
  <si>
    <t>potisk čelní strany 
(z pohledu otevírání)</t>
  </si>
  <si>
    <t>potisk zadní str. druhého křídla</t>
  </si>
  <si>
    <t>cena modelu</t>
  </si>
  <si>
    <t>černý mezipokojový</t>
  </si>
  <si>
    <t>volitelné</t>
  </si>
  <si>
    <t>parametry</t>
  </si>
  <si>
    <t>cena dveří před tiskem</t>
  </si>
  <si>
    <t>cena dveří 
s potiskem</t>
  </si>
  <si>
    <t>konfigurace dveří</t>
  </si>
  <si>
    <t>potisk</t>
  </si>
  <si>
    <t>ks</t>
  </si>
  <si>
    <t>Položka č. 1</t>
  </si>
  <si>
    <t>Poznámka:</t>
  </si>
  <si>
    <t>Položka č. 2</t>
  </si>
  <si>
    <t>Změníte-li u položky výběr v nějaké buňce v prvním řádku, vyberte poté znovu všechny</t>
  </si>
  <si>
    <t>Ø</t>
  </si>
  <si>
    <t xml:space="preserve">U jednotlivých položek postupně shora v každém řádku vyplňte buňky (vyberte hodnoty) </t>
  </si>
  <si>
    <t>zleva směrem vpravo. K posunu na další buňku je nejlepší používat tabelátor, případně myš.</t>
  </si>
  <si>
    <t>parametry nacházející se dále vpravo od změněné buňky a ve druhém řádku dané položky.</t>
  </si>
  <si>
    <t>potisk_ceny</t>
  </si>
  <si>
    <t>60_197</t>
  </si>
  <si>
    <t>60_210</t>
  </si>
  <si>
    <t>70_197</t>
  </si>
  <si>
    <t>70_210</t>
  </si>
  <si>
    <t>80_197</t>
  </si>
  <si>
    <t>80_210</t>
  </si>
  <si>
    <t>90_197</t>
  </si>
  <si>
    <t>90_210</t>
  </si>
  <si>
    <t>110_197</t>
  </si>
  <si>
    <t>110_210</t>
  </si>
  <si>
    <t>125_197</t>
  </si>
  <si>
    <t>125_210</t>
  </si>
  <si>
    <t>145_197</t>
  </si>
  <si>
    <t>145_210</t>
  </si>
  <si>
    <t>m2</t>
  </si>
  <si>
    <t>cena</t>
  </si>
  <si>
    <t>Kč/m2</t>
  </si>
  <si>
    <r>
      <t xml:space="preserve">potisk čelní strany 
</t>
    </r>
    <r>
      <rPr>
        <i/>
        <sz val="9"/>
        <color theme="1"/>
        <rFont val="Calibri"/>
        <family val="2"/>
        <charset val="238"/>
        <scheme val="minor"/>
      </rPr>
      <t>(z pohledu otevírání)</t>
    </r>
  </si>
  <si>
    <t>sklo</t>
  </si>
  <si>
    <t>skla</t>
  </si>
  <si>
    <t>sklo1</t>
  </si>
  <si>
    <t>sklo2</t>
  </si>
  <si>
    <t>sklo3</t>
  </si>
  <si>
    <t>sklo4</t>
  </si>
  <si>
    <t>sklo5</t>
  </si>
  <si>
    <t>1_Satinato</t>
  </si>
  <si>
    <t>1_Kůra čirá</t>
  </si>
  <si>
    <t>1_Kůra bronz</t>
  </si>
  <si>
    <t>1_Čiré</t>
  </si>
  <si>
    <t>2_Planibel šedý</t>
  </si>
  <si>
    <t>2_Činčila čirá</t>
  </si>
  <si>
    <t>2_Činčila bronz</t>
  </si>
  <si>
    <t>3_Master carre</t>
  </si>
  <si>
    <t>4_Connex čirý</t>
  </si>
  <si>
    <t>5_Connex mléčný</t>
  </si>
  <si>
    <t>Klasik_1</t>
  </si>
  <si>
    <t>Klasik_2</t>
  </si>
  <si>
    <t>Klasik_3</t>
  </si>
  <si>
    <t>Klasik_5</t>
  </si>
  <si>
    <t>Klasik_7</t>
  </si>
  <si>
    <t>nenabízí se š. 110</t>
  </si>
  <si>
    <t>1 kř</t>
  </si>
  <si>
    <t>2kř</t>
  </si>
  <si>
    <t>sklo 5</t>
  </si>
  <si>
    <t>volitelné doplňky</t>
  </si>
  <si>
    <t>K posunu na další buňku je nejlepší používat tabelátor, případně myš.</t>
  </si>
  <si>
    <t>Fakturační adresa:</t>
  </si>
  <si>
    <t>IČO:</t>
  </si>
  <si>
    <t>Objednávka č.</t>
  </si>
  <si>
    <t>Vyřizuje:</t>
  </si>
  <si>
    <t>E-mail:</t>
  </si>
  <si>
    <t>Datum:</t>
  </si>
  <si>
    <t>Telefon:</t>
  </si>
  <si>
    <t>Instrukce</t>
  </si>
  <si>
    <r>
      <rPr>
        <b/>
        <sz val="10"/>
        <color theme="1"/>
        <rFont val="Calibri"/>
        <family val="2"/>
        <charset val="238"/>
        <scheme val="minor"/>
      </rPr>
      <t>Dodací adresa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sz val="9"/>
        <color theme="1"/>
        <rFont val="Calibri"/>
        <family val="2"/>
        <charset val="238"/>
        <scheme val="minor"/>
      </rPr>
      <t>(liší-li se)</t>
    </r>
  </si>
  <si>
    <t>Položka č. 3</t>
  </si>
  <si>
    <t>ceny jsou uvedeny bez DPH</t>
  </si>
  <si>
    <t>Postupně shora v každém řádku vyplňte směrem zleva doprava všechny buňky (vyberte z nabízených hodnot).</t>
  </si>
  <si>
    <t>Pokud u položky  změníte  v prvním řádku výběr v nějaké buňce, vyberte poté znovu všechny parametry</t>
  </si>
  <si>
    <t>v dalších buňkách nacházejících se vpravo od změněné buňky a ve druhém řádku dané položky.</t>
  </si>
  <si>
    <t>Položka č. 4</t>
  </si>
  <si>
    <t>Položka č. 5</t>
  </si>
  <si>
    <t>Položka č. 6</t>
  </si>
  <si>
    <t>Položka č. 7</t>
  </si>
  <si>
    <t>mezisoučet - první strana</t>
  </si>
  <si>
    <t>mezisoučet - druhá strana</t>
  </si>
  <si>
    <t>objednáno celkem</t>
  </si>
  <si>
    <t>Odesláním objednávky souhlasíte s všeobecnými obchodními podmínkami.</t>
  </si>
  <si>
    <t>Objednávku na modely</t>
  </si>
  <si>
    <t xml:space="preserve">se sklem zadávejte </t>
  </si>
  <si>
    <t>na druhém listu</t>
  </si>
  <si>
    <t>na prvním listu</t>
  </si>
  <si>
    <t xml:space="preserve">Požadavek na plné </t>
  </si>
  <si>
    <t xml:space="preserve">dveře zadejte </t>
  </si>
  <si>
    <r>
      <rPr>
        <b/>
        <sz val="10"/>
        <color theme="1"/>
        <rFont val="Calibri"/>
        <family val="2"/>
        <charset val="238"/>
        <scheme val="minor"/>
      </rPr>
      <t>Dodací adresa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sz val="9"/>
        <color theme="1"/>
        <rFont val="Calibri"/>
        <family val="2"/>
        <charset val="238"/>
        <scheme val="minor"/>
      </rPr>
      <t>(pokud se liší)</t>
    </r>
  </si>
  <si>
    <t>Je-li zvolen potisk "vlastní motiv", není tato položka zahrnuta v zobrazené ceně. Zpracujeme Vám kalkulaci.</t>
  </si>
  <si>
    <t>G_Měděné čtverce</t>
  </si>
  <si>
    <t>G_Optická iluze</t>
  </si>
  <si>
    <t>X_vlastní motiv</t>
  </si>
  <si>
    <t>K_Indiáni</t>
  </si>
  <si>
    <t>_bez potisku</t>
  </si>
  <si>
    <t xml:space="preserve">Dveře plné </t>
  </si>
  <si>
    <t>Dveře plné</t>
  </si>
  <si>
    <t>DDP</t>
  </si>
  <si>
    <t>DD1</t>
  </si>
  <si>
    <t>DD2</t>
  </si>
  <si>
    <t>DD3</t>
  </si>
  <si>
    <t>DD5</t>
  </si>
  <si>
    <t>DD7</t>
  </si>
  <si>
    <t>Prosklené</t>
  </si>
  <si>
    <t>CPLdvoukřídléDD1sklo1</t>
  </si>
  <si>
    <t>CPLdvoukřídléDD1sklo2</t>
  </si>
  <si>
    <t>CPLdvoukřídléDD1sklo3</t>
  </si>
  <si>
    <t>CPLdvoukřídléDD1sklo4</t>
  </si>
  <si>
    <t>CPLdvoukřídléDD1sklo5</t>
  </si>
  <si>
    <t>CPLdvoukřídléDD2sklo1</t>
  </si>
  <si>
    <t>CPLdvoukřídléDD2sklo2</t>
  </si>
  <si>
    <t>CPLdvoukřídléDD2sklo3</t>
  </si>
  <si>
    <t>CPLdvoukřídléDD2sklo4</t>
  </si>
  <si>
    <t>CPLdvoukřídléDD2sklo5</t>
  </si>
  <si>
    <t>CPLdvoukřídléDD3sklo1</t>
  </si>
  <si>
    <t>CPLdvoukřídléDD3sklo2</t>
  </si>
  <si>
    <t>CPLdvoukřídléDD3sklo3</t>
  </si>
  <si>
    <t>CPLdvoukřídléDD3sklo4</t>
  </si>
  <si>
    <t>CPLdvoukřídléDD3sklo5</t>
  </si>
  <si>
    <t>CPLdvoukřídléDD5sklo1</t>
  </si>
  <si>
    <t>CPLdvoukřídléDD5sklo2</t>
  </si>
  <si>
    <t>CPLdvoukřídléDD5sklo3</t>
  </si>
  <si>
    <t>CPLdvoukřídléDD5sklo4</t>
  </si>
  <si>
    <t>CPLdvoukřídléDD5sklo5</t>
  </si>
  <si>
    <t>CPLjednokřídléDD1sklo1</t>
  </si>
  <si>
    <t>CPLjednokřídléDD1sklo2</t>
  </si>
  <si>
    <t>CPLjednokřídléDD1sklo3</t>
  </si>
  <si>
    <t>CPLjednokřídléDD1sklo4</t>
  </si>
  <si>
    <t>CPLjednokřídléDD1sklo5</t>
  </si>
  <si>
    <t>CPLjednokřídléDD2sklo1</t>
  </si>
  <si>
    <t>CPLjednokřídléDD2sklo2</t>
  </si>
  <si>
    <t>CPLjednokřídléDD2sklo3</t>
  </si>
  <si>
    <t>CPLjednokřídléDD2sklo4</t>
  </si>
  <si>
    <t>CPLjednokřídléDD2sklo5</t>
  </si>
  <si>
    <t>CPLjednokřídléDD3sklo1</t>
  </si>
  <si>
    <t>CPLjednokřídléDD3sklo2</t>
  </si>
  <si>
    <t>CPLjednokřídléDD3sklo3</t>
  </si>
  <si>
    <t>CPLjednokřídléDD3sklo4</t>
  </si>
  <si>
    <t>CPLjednokřídléDD3sklo5</t>
  </si>
  <si>
    <t>CPLjednokřídléDD5sklo1</t>
  </si>
  <si>
    <t>CPLjednokřídléDD5sklo2</t>
  </si>
  <si>
    <t>CPLjednokřídléDD5sklo3</t>
  </si>
  <si>
    <t>CPLjednokřídléDD5sklo4</t>
  </si>
  <si>
    <t>CPLjednokřídléDD5sklo5</t>
  </si>
  <si>
    <t>dýhadvoukřídléDD1sklo1</t>
  </si>
  <si>
    <t>dýhadvoukřídléDD1sklo2</t>
  </si>
  <si>
    <t>dýhadvoukřídléDD1sklo3</t>
  </si>
  <si>
    <t>dýhadvoukřídléDD1sklo4</t>
  </si>
  <si>
    <t>dýhadvoukřídléDD1sklo5</t>
  </si>
  <si>
    <t>dýhadvoukřídléDD2sklo1</t>
  </si>
  <si>
    <t>dýhadvoukřídléDD2sklo2</t>
  </si>
  <si>
    <t>dýhadvoukřídléDD2sklo3</t>
  </si>
  <si>
    <t>dýhadvoukřídléDD2sklo4</t>
  </si>
  <si>
    <t>dýhadvoukřídléDD2sklo5</t>
  </si>
  <si>
    <t>dýhadvoukřídléDD3sklo1</t>
  </si>
  <si>
    <t>dýhadvoukřídléDD3sklo2</t>
  </si>
  <si>
    <t>dýhadvoukřídléDD3sklo3</t>
  </si>
  <si>
    <t>dýhadvoukřídléDD3sklo4</t>
  </si>
  <si>
    <t>dýhadvoukřídléDD3sklo5</t>
  </si>
  <si>
    <t>dýhadvoukřídléDD5sklo1</t>
  </si>
  <si>
    <t>dýhadvoukřídléDD5sklo2</t>
  </si>
  <si>
    <t>dýhadvoukřídléDD5sklo3</t>
  </si>
  <si>
    <t>dýhadvoukřídléDD5sklo4</t>
  </si>
  <si>
    <t>dýhadvoukřídléDD5sklo5</t>
  </si>
  <si>
    <t>dýhajednokřídléDD1sklo1</t>
  </si>
  <si>
    <t>dýhajednokřídléDD1sklo2</t>
  </si>
  <si>
    <t>dýhajednokřídléDD1sklo3</t>
  </si>
  <si>
    <t>dýhajednokřídléDD1sklo4</t>
  </si>
  <si>
    <t>dýhajednokřídléDD1sklo5</t>
  </si>
  <si>
    <t>dýhajednokřídléDD2sklo1</t>
  </si>
  <si>
    <t>dýhajednokřídléDD2sklo2</t>
  </si>
  <si>
    <t>dýhajednokřídléDD2sklo3</t>
  </si>
  <si>
    <t>dýhajednokřídléDD2sklo4</t>
  </si>
  <si>
    <t>dýhajednokřídléDD2sklo5</t>
  </si>
  <si>
    <t>dýhajednokřídléDD3sklo1</t>
  </si>
  <si>
    <t>dýhajednokřídléDD3sklo2</t>
  </si>
  <si>
    <t>dýhajednokřídléDD3sklo3</t>
  </si>
  <si>
    <t>dýhajednokřídléDD3sklo4</t>
  </si>
  <si>
    <t>dýhajednokřídléDD3sklo5</t>
  </si>
  <si>
    <t>dýhajednokřídléDD5sklo1</t>
  </si>
  <si>
    <t>dýhajednokřídléDD5sklo2</t>
  </si>
  <si>
    <t>dýhajednokřídléDD5sklo3</t>
  </si>
  <si>
    <t>dýhajednokřídléDD5sklo4</t>
  </si>
  <si>
    <t>dýhajednokřídléDD5sklo5</t>
  </si>
  <si>
    <t>fóliedvoukřídléDD1sklo1</t>
  </si>
  <si>
    <t>fóliedvoukřídléDD1sklo2</t>
  </si>
  <si>
    <t>fóliedvoukřídléDD1sklo3</t>
  </si>
  <si>
    <t>fóliedvoukřídléDD1sklo4</t>
  </si>
  <si>
    <t>fóliedvoukřídléDD1sklo5</t>
  </si>
  <si>
    <t>fóliedvoukřídléDD2sklo1</t>
  </si>
  <si>
    <t>fóliedvoukřídléDD2sklo2</t>
  </si>
  <si>
    <t>fóliedvoukřídléDD2sklo3</t>
  </si>
  <si>
    <t>fóliedvoukřídléDD2sklo4</t>
  </si>
  <si>
    <t>fóliedvoukřídléDD2sklo5</t>
  </si>
  <si>
    <t>fóliedvoukřídléDD3sklo1</t>
  </si>
  <si>
    <t>fóliedvoukřídléDD3sklo2</t>
  </si>
  <si>
    <t>fóliedvoukřídléDD3sklo3</t>
  </si>
  <si>
    <t>fóliedvoukřídléDD3sklo4</t>
  </si>
  <si>
    <t>fóliedvoukřídléDD3sklo5</t>
  </si>
  <si>
    <t>fóliedvoukřídléDD5sklo1</t>
  </si>
  <si>
    <t>fóliedvoukřídléDD5sklo2</t>
  </si>
  <si>
    <t>fóliedvoukřídléDD5sklo3</t>
  </si>
  <si>
    <t>fóliedvoukřídléDD5sklo4</t>
  </si>
  <si>
    <t>fóliedvoukřídléDD5sklo5</t>
  </si>
  <si>
    <t>fóliejednokřídléDD1sklo1</t>
  </si>
  <si>
    <t>fóliejednokřídléDD1sklo2</t>
  </si>
  <si>
    <t>fóliejednokřídléDD1sklo3</t>
  </si>
  <si>
    <t>fóliejednokřídléDD1sklo4</t>
  </si>
  <si>
    <t>fóliejednokřídléDD1sklo5</t>
  </si>
  <si>
    <t>fóliejednokřídléDD2sklo1</t>
  </si>
  <si>
    <t>fóliejednokřídléDD2sklo2</t>
  </si>
  <si>
    <t>fóliejednokřídléDD2sklo3</t>
  </si>
  <si>
    <t>fóliejednokřídléDD2sklo4</t>
  </si>
  <si>
    <t>fóliejednokřídléDD2sklo5</t>
  </si>
  <si>
    <t>fóliejednokřídléDD3sklo1</t>
  </si>
  <si>
    <t>fóliejednokřídléDD3sklo2</t>
  </si>
  <si>
    <t>fóliejednokřídléDD3sklo3</t>
  </si>
  <si>
    <t>fóliejednokřídléDD3sklo4</t>
  </si>
  <si>
    <t>fóliejednokřídléDD3sklo5</t>
  </si>
  <si>
    <t>fóliejednokřídléDD5sklo1</t>
  </si>
  <si>
    <t>fóliejednokřídléDD5sklo2</t>
  </si>
  <si>
    <t>fóliejednokřídléDD5sklo3</t>
  </si>
  <si>
    <t>fóliejednokřídléDD5sklo4</t>
  </si>
  <si>
    <t>fóliejednokřídléDD5sklo5</t>
  </si>
  <si>
    <t>RALdvoukřídléDD1sklo1</t>
  </si>
  <si>
    <t>RALdvoukřídléDD1sklo2</t>
  </si>
  <si>
    <t>RALdvoukřídléDD1sklo3</t>
  </si>
  <si>
    <t>RALdvoukřídléDD1sklo4</t>
  </si>
  <si>
    <t>RALdvoukřídléDD1sklo5</t>
  </si>
  <si>
    <t>RALdvoukřídléDD2sklo1</t>
  </si>
  <si>
    <t>RALdvoukřídléDD2sklo2</t>
  </si>
  <si>
    <t>RALdvoukřídléDD2sklo3</t>
  </si>
  <si>
    <t>RALdvoukřídléDD2sklo4</t>
  </si>
  <si>
    <t>RALdvoukřídléDD2sklo5</t>
  </si>
  <si>
    <t>RALdvoukřídléDD3sklo1</t>
  </si>
  <si>
    <t>RALdvoukřídléDD3sklo2</t>
  </si>
  <si>
    <t>RALdvoukřídléDD3sklo3</t>
  </si>
  <si>
    <t>RALdvoukřídléDD3sklo4</t>
  </si>
  <si>
    <t>RALdvoukřídléDD3sklo5</t>
  </si>
  <si>
    <t>RALdvoukřídléDD5sklo1</t>
  </si>
  <si>
    <t>RALdvoukřídléDD5sklo2</t>
  </si>
  <si>
    <t>RALdvoukřídléDD5sklo3</t>
  </si>
  <si>
    <t>RALdvoukřídléDD5sklo4</t>
  </si>
  <si>
    <t>RALdvoukřídléDD5sklo5</t>
  </si>
  <si>
    <t>RALjednokřídléDD1sklo1</t>
  </si>
  <si>
    <t>RALjednokřídléDD1sklo2</t>
  </si>
  <si>
    <t>RALjednokřídléDD1sklo3</t>
  </si>
  <si>
    <t>RALjednokřídléDD1sklo4</t>
  </si>
  <si>
    <t>RALjednokřídléDD1sklo5</t>
  </si>
  <si>
    <t>RALjednokřídléDD2sklo1</t>
  </si>
  <si>
    <t>RALjednokřídléDD2sklo2</t>
  </si>
  <si>
    <t>RALjednokřídléDD2sklo3</t>
  </si>
  <si>
    <t>RALjednokřídléDD2sklo4</t>
  </si>
  <si>
    <t>RALjednokřídléDD2sklo5</t>
  </si>
  <si>
    <t>RALjednokřídléDD3sklo1</t>
  </si>
  <si>
    <t>RALjednokřídléDD3sklo2</t>
  </si>
  <si>
    <t>RALjednokřídléDD3sklo3</t>
  </si>
  <si>
    <t>RALjednokřídléDD3sklo4</t>
  </si>
  <si>
    <t>RALjednokřídléDD3sklo5</t>
  </si>
  <si>
    <t>RALjednokřídléDD5sklo1</t>
  </si>
  <si>
    <t>RALjednokřídléDD5sklo2</t>
  </si>
  <si>
    <t>RALjednokřídléDD5sklo3</t>
  </si>
  <si>
    <t>RALjednokřídléDD5sklo4</t>
  </si>
  <si>
    <t>RALjednokřídléDD5sklo5</t>
  </si>
  <si>
    <t>provedení plné</t>
  </si>
  <si>
    <t>G_Černé tečky</t>
  </si>
  <si>
    <t>G_Zvlněno</t>
  </si>
  <si>
    <t>G_Organické linie</t>
  </si>
  <si>
    <t>K_Puntíky</t>
  </si>
  <si>
    <t>K_Zajíček</t>
  </si>
  <si>
    <t>K_V lese</t>
  </si>
  <si>
    <t>K_Zmrzlina</t>
  </si>
  <si>
    <t>D_Abstrakce</t>
  </si>
  <si>
    <t xml:space="preserve">D_Modrý akvarel </t>
  </si>
  <si>
    <t>D_Graffiti</t>
  </si>
  <si>
    <t>D_Modrý ornament</t>
  </si>
  <si>
    <t>D_Štětcem</t>
  </si>
  <si>
    <t>F_Růžové květiny</t>
  </si>
  <si>
    <t>F_Pestré květy</t>
  </si>
  <si>
    <t>F_Kresleno perem</t>
  </si>
  <si>
    <t>F_Šedé traviny</t>
  </si>
  <si>
    <t>F_Zelené lístky</t>
  </si>
  <si>
    <t>Obratem se Vám ozveme s potvrzením kalkulace a termínem dodání</t>
  </si>
  <si>
    <t>Vaše JFD</t>
  </si>
  <si>
    <t xml:space="preserve">Tuto kalkulaci si prosím uložte a pošlete jako objednávku v příloze emailu na adresu </t>
  </si>
  <si>
    <t>ajahnicka@jfd.cz</t>
  </si>
  <si>
    <t>dýha80</t>
  </si>
  <si>
    <t>dýha90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</si>
</sst>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3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color rgb="FF009644"/>
      <name val="Calibri"/>
      <family val="2"/>
      <charset val="238"/>
      <scheme val="minor"/>
    </font>
    <font>
      <b/>
      <sz val="10"/>
      <color rgb="FF009644"/>
      <name val="Calibri"/>
      <family val="2"/>
      <charset val="238"/>
      <scheme val="minor"/>
    </font>
    <font>
      <b/>
      <sz val="11"/>
      <color theme="5" tint="-0.249977111117893"/>
      <name val="Calibri"/>
      <family val="2"/>
      <charset val="238"/>
      <scheme val="minor"/>
    </font>
    <font>
      <b/>
      <sz val="10"/>
      <color theme="5" tint="-0.249977111117893"/>
      <name val="Calibri"/>
      <family val="2"/>
      <charset val="238"/>
      <scheme val="minor"/>
    </font>
    <font>
      <b/>
      <sz val="10"/>
      <color theme="5" tint="-0.249977111117893"/>
      <name val="Wingdings"/>
      <charset val="2"/>
    </font>
    <font>
      <b/>
      <i/>
      <sz val="10"/>
      <color theme="5" tint="-0.249977111117893"/>
      <name val="Calibri"/>
      <family val="2"/>
      <charset val="238"/>
      <scheme val="minor"/>
    </font>
    <font>
      <b/>
      <i/>
      <u/>
      <sz val="10"/>
      <color theme="5" tint="-0.249977111117893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color rgb="FF6CA62C"/>
      <name val="Calibri"/>
      <family val="2"/>
      <charset val="238"/>
      <scheme val="minor"/>
    </font>
    <font>
      <b/>
      <i/>
      <u/>
      <sz val="11"/>
      <color rgb="FF00B050"/>
      <name val="Calibri"/>
      <family val="2"/>
      <charset val="238"/>
      <scheme val="minor"/>
    </font>
    <font>
      <b/>
      <sz val="10"/>
      <color rgb="FF00B050"/>
      <name val="Wingdings"/>
      <charset val="2"/>
    </font>
    <font>
      <b/>
      <i/>
      <sz val="10"/>
      <color rgb="FF00B050"/>
      <name val="Calibri"/>
      <family val="2"/>
      <charset val="238"/>
      <scheme val="minor"/>
    </font>
    <font>
      <b/>
      <sz val="10"/>
      <color rgb="FF00B050"/>
      <name val="Calibri"/>
      <family val="2"/>
      <charset val="238"/>
      <scheme val="minor"/>
    </font>
    <font>
      <b/>
      <sz val="10.5"/>
      <color rgb="FF00B050"/>
      <name val="Calibri"/>
      <family val="2"/>
      <charset val="238"/>
      <scheme val="minor"/>
    </font>
    <font>
      <u/>
      <sz val="10"/>
      <color theme="10"/>
      <name val="Calibri"/>
      <family val="2"/>
      <charset val="238"/>
      <scheme val="minor"/>
    </font>
    <font>
      <b/>
      <sz val="10.5"/>
      <color theme="5" tint="-0.249977111117893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EAE6E3"/>
        <bgColor indexed="64"/>
      </patternFill>
    </fill>
  </fills>
  <borders count="5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slantDashDot">
        <color indexed="64"/>
      </left>
      <right style="slantDashDot">
        <color indexed="64"/>
      </right>
      <top style="slantDashDot">
        <color indexed="64"/>
      </top>
      <bottom style="slantDashDot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slantDashDot">
        <color indexed="64"/>
      </top>
      <bottom style="thin">
        <color indexed="64"/>
      </bottom>
      <diagonal/>
    </border>
    <border>
      <left/>
      <right style="thin">
        <color indexed="64"/>
      </right>
      <top style="slantDashDot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slantDashDot">
        <color indexed="64"/>
      </left>
      <right style="medium">
        <color indexed="64"/>
      </right>
      <top style="slantDashDot">
        <color indexed="64"/>
      </top>
      <bottom style="slantDashDot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slantDashDot">
        <color indexed="64"/>
      </top>
      <bottom style="slantDashDot">
        <color indexed="64"/>
      </bottom>
      <diagonal/>
    </border>
    <border>
      <left/>
      <right/>
      <top style="slantDashDot">
        <color indexed="64"/>
      </top>
      <bottom style="slantDashDot">
        <color indexed="64"/>
      </bottom>
      <diagonal/>
    </border>
    <border>
      <left style="slantDashDot">
        <color indexed="64"/>
      </left>
      <right/>
      <top style="slantDashDot">
        <color indexed="64"/>
      </top>
      <bottom style="slantDashDot">
        <color indexed="64"/>
      </bottom>
      <diagonal/>
    </border>
    <border>
      <left/>
      <right style="slantDashDot">
        <color indexed="64"/>
      </right>
      <top style="slantDashDot">
        <color indexed="64"/>
      </top>
      <bottom style="slantDashDot">
        <color indexed="64"/>
      </bottom>
      <diagonal/>
    </border>
    <border>
      <left style="thin">
        <color indexed="64"/>
      </left>
      <right/>
      <top style="thin">
        <color indexed="64"/>
      </top>
      <bottom style="slantDashDot">
        <color indexed="64"/>
      </bottom>
      <diagonal/>
    </border>
    <border>
      <left/>
      <right style="thin">
        <color indexed="64"/>
      </right>
      <top style="thin">
        <color indexed="64"/>
      </top>
      <bottom style="slantDashDot">
        <color indexed="64"/>
      </bottom>
      <diagonal/>
    </border>
    <border>
      <left/>
      <right style="thin">
        <color indexed="64"/>
      </right>
      <top style="slantDashDot">
        <color indexed="64"/>
      </top>
      <bottom style="slantDashDot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</borders>
  <cellStyleXfs count="2">
    <xf numFmtId="0" fontId="0" fillId="0" borderId="0"/>
    <xf numFmtId="0" fontId="23" fillId="0" borderId="0" applyNumberFormat="0" applyFill="0" applyBorder="0" applyAlignment="0" applyProtection="0"/>
  </cellStyleXfs>
  <cellXfs count="36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 indent="1"/>
    </xf>
    <xf numFmtId="0" fontId="2" fillId="0" borderId="0" xfId="0" applyFont="1" applyAlignment="1">
      <alignment horizontal="right" indent="1"/>
    </xf>
    <xf numFmtId="0" fontId="0" fillId="0" borderId="0" xfId="0" applyFont="1"/>
    <xf numFmtId="0" fontId="0" fillId="0" borderId="13" xfId="0" applyBorder="1"/>
    <xf numFmtId="0" fontId="0" fillId="0" borderId="0" xfId="0" applyBorder="1"/>
    <xf numFmtId="0" fontId="0" fillId="0" borderId="15" xfId="0" applyBorder="1"/>
    <xf numFmtId="0" fontId="0" fillId="0" borderId="16" xfId="0" applyBorder="1"/>
    <xf numFmtId="0" fontId="0" fillId="10" borderId="0" xfId="0" applyFill="1"/>
    <xf numFmtId="0" fontId="0" fillId="0" borderId="0" xfId="0" applyFill="1" applyBorder="1"/>
    <xf numFmtId="0" fontId="0" fillId="0" borderId="0" xfId="0" applyAlignment="1">
      <alignment horizontal="right"/>
    </xf>
    <xf numFmtId="0" fontId="0" fillId="4" borderId="0" xfId="0" applyFill="1"/>
    <xf numFmtId="0" fontId="0" fillId="4" borderId="0" xfId="0" applyFill="1" applyAlignment="1">
      <alignment horizontal="right"/>
    </xf>
    <xf numFmtId="0" fontId="5" fillId="0" borderId="0" xfId="0" applyFont="1"/>
    <xf numFmtId="0" fontId="1" fillId="0" borderId="5" xfId="0" applyFont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0" fillId="4" borderId="0" xfId="0" applyFill="1" applyAlignment="1">
      <alignment vertical="center"/>
    </xf>
    <xf numFmtId="0" fontId="0" fillId="9" borderId="10" xfId="0" applyFill="1" applyBorder="1" applyAlignment="1">
      <alignment vertical="center"/>
    </xf>
    <xf numFmtId="0" fontId="0" fillId="9" borderId="11" xfId="0" applyFill="1" applyBorder="1" applyAlignment="1">
      <alignment vertical="center"/>
    </xf>
    <xf numFmtId="0" fontId="0" fillId="9" borderId="12" xfId="0" applyFill="1" applyBorder="1" applyAlignment="1">
      <alignment vertical="center"/>
    </xf>
    <xf numFmtId="0" fontId="0" fillId="7" borderId="11" xfId="0" applyFill="1" applyBorder="1" applyAlignment="1">
      <alignment vertical="center"/>
    </xf>
    <xf numFmtId="0" fontId="0" fillId="7" borderId="12" xfId="0" applyFill="1" applyBorder="1" applyAlignment="1">
      <alignment vertical="center"/>
    </xf>
    <xf numFmtId="0" fontId="5" fillId="0" borderId="0" xfId="0" applyFont="1" applyAlignment="1">
      <alignment horizontal="left" vertical="center" indent="1"/>
    </xf>
    <xf numFmtId="0" fontId="0" fillId="0" borderId="0" xfId="0" applyAlignment="1">
      <alignment horizontal="left"/>
    </xf>
    <xf numFmtId="0" fontId="2" fillId="0" borderId="0" xfId="0" applyFont="1"/>
    <xf numFmtId="0" fontId="2" fillId="0" borderId="0" xfId="0" applyFont="1" applyAlignment="1">
      <alignment horizontal="center"/>
    </xf>
    <xf numFmtId="0" fontId="0" fillId="11" borderId="0" xfId="0" applyFill="1" applyAlignment="1">
      <alignment vertical="center"/>
    </xf>
    <xf numFmtId="0" fontId="2" fillId="0" borderId="0" xfId="0" applyFont="1" applyAlignment="1"/>
    <xf numFmtId="0" fontId="0" fillId="0" borderId="0" xfId="0" applyFill="1"/>
    <xf numFmtId="0" fontId="2" fillId="0" borderId="0" xfId="0" applyFont="1" applyFill="1"/>
    <xf numFmtId="0" fontId="1" fillId="0" borderId="5" xfId="0" applyFont="1" applyBorder="1" applyAlignment="1">
      <alignment horizontal="left"/>
    </xf>
    <xf numFmtId="0" fontId="6" fillId="6" borderId="21" xfId="0" applyFont="1" applyFill="1" applyBorder="1" applyAlignment="1">
      <alignment horizontal="center" vertical="center"/>
    </xf>
    <xf numFmtId="164" fontId="5" fillId="0" borderId="22" xfId="0" applyNumberFormat="1" applyFont="1" applyBorder="1" applyAlignment="1">
      <alignment horizontal="right" indent="1"/>
    </xf>
    <xf numFmtId="164" fontId="10" fillId="6" borderId="24" xfId="0" applyNumberFormat="1" applyFont="1" applyFill="1" applyBorder="1" applyAlignment="1">
      <alignment horizontal="right" vertical="center" indent="1"/>
    </xf>
    <xf numFmtId="164" fontId="10" fillId="3" borderId="22" xfId="0" applyNumberFormat="1" applyFont="1" applyFill="1" applyBorder="1" applyAlignment="1">
      <alignment horizontal="right" indent="1"/>
    </xf>
    <xf numFmtId="0" fontId="13" fillId="0" borderId="0" xfId="0" applyFont="1" applyAlignment="1">
      <alignment horizontal="left" vertical="center" indent="1"/>
    </xf>
    <xf numFmtId="0" fontId="13" fillId="0" borderId="0" xfId="0" applyFont="1" applyAlignment="1">
      <alignment horizontal="left" vertical="center"/>
    </xf>
    <xf numFmtId="0" fontId="6" fillId="10" borderId="0" xfId="0" applyFont="1" applyFill="1" applyBorder="1" applyAlignment="1">
      <alignment horizontal="center" vertical="center"/>
    </xf>
    <xf numFmtId="0" fontId="5" fillId="0" borderId="25" xfId="0" applyFont="1" applyBorder="1" applyAlignment="1" applyProtection="1">
      <alignment horizontal="left" vertical="center" indent="1"/>
      <protection locked="0" hidden="1"/>
    </xf>
    <xf numFmtId="0" fontId="5" fillId="0" borderId="25" xfId="0" applyFont="1" applyBorder="1" applyAlignment="1" applyProtection="1">
      <alignment horizontal="center" vertical="center"/>
      <protection locked="0" hidden="1"/>
    </xf>
    <xf numFmtId="0" fontId="10" fillId="6" borderId="19" xfId="0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1" fillId="0" borderId="26" xfId="0" applyFont="1" applyBorder="1" applyAlignment="1">
      <alignment horizontal="right" vertical="center"/>
    </xf>
    <xf numFmtId="0" fontId="1" fillId="0" borderId="27" xfId="0" applyFont="1" applyBorder="1" applyAlignment="1" applyProtection="1">
      <alignment horizontal="right" vertical="center" indent="2"/>
      <protection locked="0" hidden="1"/>
    </xf>
    <xf numFmtId="164" fontId="11" fillId="0" borderId="28" xfId="0" applyNumberFormat="1" applyFont="1" applyBorder="1" applyAlignment="1">
      <alignment horizontal="right" vertical="center" wrapText="1" indent="1"/>
    </xf>
    <xf numFmtId="0" fontId="5" fillId="0" borderId="26" xfId="0" applyFont="1" applyBorder="1" applyAlignment="1">
      <alignment vertical="center"/>
    </xf>
    <xf numFmtId="0" fontId="5" fillId="0" borderId="26" xfId="0" applyFont="1" applyBorder="1" applyAlignment="1">
      <alignment horizontal="left" vertical="center"/>
    </xf>
    <xf numFmtId="0" fontId="0" fillId="7" borderId="0" xfId="0" applyFill="1"/>
    <xf numFmtId="0" fontId="0" fillId="8" borderId="0" xfId="0" applyFill="1"/>
    <xf numFmtId="0" fontId="1" fillId="8" borderId="5" xfId="0" applyFont="1" applyFill="1" applyBorder="1" applyAlignment="1">
      <alignment horizontal="left"/>
    </xf>
    <xf numFmtId="0" fontId="2" fillId="8" borderId="0" xfId="0" applyFont="1" applyFill="1" applyAlignment="1">
      <alignment horizontal="right"/>
    </xf>
    <xf numFmtId="0" fontId="2" fillId="8" borderId="0" xfId="0" applyFont="1" applyFill="1" applyAlignment="1">
      <alignment horizontal="left"/>
    </xf>
    <xf numFmtId="164" fontId="5" fillId="0" borderId="30" xfId="0" applyNumberFormat="1" applyFont="1" applyBorder="1" applyAlignment="1">
      <alignment horizontal="center" vertical="center"/>
    </xf>
    <xf numFmtId="164" fontId="14" fillId="0" borderId="6" xfId="0" applyNumberFormat="1" applyFont="1" applyFill="1" applyBorder="1" applyAlignment="1">
      <alignment horizontal="center" vertical="center"/>
    </xf>
    <xf numFmtId="164" fontId="14" fillId="0" borderId="7" xfId="0" applyNumberFormat="1" applyFont="1" applyFill="1" applyBorder="1" applyAlignment="1">
      <alignment horizontal="center" vertical="center"/>
    </xf>
    <xf numFmtId="164" fontId="14" fillId="0" borderId="7" xfId="0" applyNumberFormat="1" applyFont="1" applyFill="1" applyBorder="1" applyAlignment="1">
      <alignment horizontal="center" vertical="center"/>
    </xf>
    <xf numFmtId="0" fontId="6" fillId="6" borderId="21" xfId="0" applyFont="1" applyFill="1" applyBorder="1" applyAlignment="1">
      <alignment horizontal="left" vertical="center" indent="1"/>
    </xf>
    <xf numFmtId="0" fontId="6" fillId="6" borderId="12" xfId="0" applyFont="1" applyFill="1" applyBorder="1" applyAlignment="1">
      <alignment horizontal="center"/>
    </xf>
    <xf numFmtId="0" fontId="6" fillId="10" borderId="2" xfId="0" applyFont="1" applyFill="1" applyBorder="1" applyAlignment="1">
      <alignment horizontal="left" vertical="center" indent="1"/>
    </xf>
    <xf numFmtId="0" fontId="6" fillId="10" borderId="3" xfId="0" applyFont="1" applyFill="1" applyBorder="1" applyAlignment="1">
      <alignment horizontal="left" vertical="center" indent="1"/>
    </xf>
    <xf numFmtId="0" fontId="6" fillId="10" borderId="23" xfId="0" applyFont="1" applyFill="1" applyBorder="1" applyAlignment="1">
      <alignment horizontal="center"/>
    </xf>
    <xf numFmtId="0" fontId="6" fillId="10" borderId="14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5" fillId="6" borderId="32" xfId="0" applyFont="1" applyFill="1" applyBorder="1" applyAlignment="1">
      <alignment horizontal="right" vertical="center" wrapText="1"/>
    </xf>
    <xf numFmtId="164" fontId="12" fillId="0" borderId="23" xfId="0" applyNumberFormat="1" applyFont="1" applyBorder="1" applyAlignment="1">
      <alignment horizontal="right" indent="1"/>
    </xf>
    <xf numFmtId="0" fontId="5" fillId="0" borderId="0" xfId="0" applyFont="1" applyAlignment="1">
      <alignment horizontal="right"/>
    </xf>
    <xf numFmtId="0" fontId="5" fillId="0" borderId="25" xfId="0" applyFont="1" applyBorder="1" applyAlignment="1" applyProtection="1">
      <alignment horizontal="left" vertical="center" indent="1"/>
      <protection locked="0" hidden="1"/>
    </xf>
    <xf numFmtId="0" fontId="5" fillId="0" borderId="25" xfId="0" applyFont="1" applyBorder="1" applyAlignment="1" applyProtection="1">
      <alignment horizontal="center" vertical="center"/>
      <protection locked="0" hidden="1"/>
    </xf>
    <xf numFmtId="0" fontId="10" fillId="0" borderId="5" xfId="0" applyFont="1" applyBorder="1"/>
    <xf numFmtId="0" fontId="5" fillId="5" borderId="32" xfId="0" applyFont="1" applyFill="1" applyBorder="1" applyAlignment="1">
      <alignment horizontal="right" vertical="center" wrapText="1"/>
    </xf>
    <xf numFmtId="164" fontId="10" fillId="5" borderId="24" xfId="0" applyNumberFormat="1" applyFont="1" applyFill="1" applyBorder="1" applyAlignment="1">
      <alignment horizontal="right" vertical="center" indent="1"/>
    </xf>
    <xf numFmtId="164" fontId="5" fillId="10" borderId="22" xfId="0" applyNumberFormat="1" applyFont="1" applyFill="1" applyBorder="1" applyAlignment="1">
      <alignment horizontal="right" indent="1"/>
    </xf>
    <xf numFmtId="0" fontId="5" fillId="0" borderId="16" xfId="0" applyFont="1" applyBorder="1" applyAlignment="1">
      <alignment horizontal="left" vertical="center"/>
    </xf>
    <xf numFmtId="0" fontId="1" fillId="0" borderId="16" xfId="0" applyFont="1" applyBorder="1" applyAlignment="1">
      <alignment horizontal="right" vertical="center"/>
    </xf>
    <xf numFmtId="0" fontId="1" fillId="0" borderId="35" xfId="0" applyFont="1" applyBorder="1" applyAlignment="1" applyProtection="1">
      <alignment horizontal="right" vertical="center" indent="2"/>
      <protection locked="0" hidden="1"/>
    </xf>
    <xf numFmtId="164" fontId="11" fillId="0" borderId="17" xfId="0" applyNumberFormat="1" applyFont="1" applyBorder="1" applyAlignment="1">
      <alignment horizontal="right" vertical="center" wrapText="1" indent="1"/>
    </xf>
    <xf numFmtId="0" fontId="0" fillId="11" borderId="0" xfId="0" applyFill="1"/>
    <xf numFmtId="3" fontId="0" fillId="0" borderId="0" xfId="0" applyNumberFormat="1"/>
    <xf numFmtId="3" fontId="0" fillId="11" borderId="0" xfId="0" applyNumberFormat="1" applyFill="1"/>
    <xf numFmtId="0" fontId="12" fillId="0" borderId="33" xfId="0" applyFont="1" applyBorder="1" applyAlignment="1" applyProtection="1">
      <alignment horizontal="left" vertical="center" indent="1"/>
      <protection locked="0" hidden="1"/>
    </xf>
    <xf numFmtId="0" fontId="6" fillId="10" borderId="3" xfId="0" applyFont="1" applyFill="1" applyBorder="1" applyAlignment="1">
      <alignment horizontal="center"/>
    </xf>
    <xf numFmtId="0" fontId="6" fillId="10" borderId="3" xfId="0" applyFont="1" applyFill="1" applyBorder="1" applyAlignment="1">
      <alignment horizontal="center"/>
    </xf>
    <xf numFmtId="164" fontId="9" fillId="6" borderId="22" xfId="0" applyNumberFormat="1" applyFont="1" applyFill="1" applyBorder="1" applyAlignment="1">
      <alignment horizontal="right" vertical="top" indent="1"/>
    </xf>
    <xf numFmtId="0" fontId="12" fillId="10" borderId="14" xfId="0" applyFont="1" applyFill="1" applyBorder="1" applyAlignment="1">
      <alignment horizontal="center"/>
    </xf>
    <xf numFmtId="3" fontId="2" fillId="0" borderId="0" xfId="0" applyNumberFormat="1" applyFont="1"/>
    <xf numFmtId="0" fontId="5" fillId="0" borderId="25" xfId="0" applyFont="1" applyBorder="1" applyAlignment="1" applyProtection="1">
      <alignment horizontal="center" vertical="center"/>
      <protection locked="0" hidden="1"/>
    </xf>
    <xf numFmtId="164" fontId="14" fillId="0" borderId="7" xfId="0" applyNumberFormat="1" applyFont="1" applyFill="1" applyBorder="1" applyAlignment="1">
      <alignment horizontal="center" vertical="center"/>
    </xf>
    <xf numFmtId="164" fontId="5" fillId="0" borderId="30" xfId="0" applyNumberFormat="1" applyFont="1" applyBorder="1" applyAlignment="1">
      <alignment horizontal="center" vertical="center"/>
    </xf>
    <xf numFmtId="0" fontId="6" fillId="10" borderId="3" xfId="0" applyFont="1" applyFill="1" applyBorder="1" applyAlignment="1">
      <alignment horizontal="left" vertical="center" indent="1"/>
    </xf>
    <xf numFmtId="0" fontId="5" fillId="0" borderId="25" xfId="0" applyFont="1" applyBorder="1" applyAlignment="1" applyProtection="1">
      <alignment horizontal="left" vertical="center" indent="1"/>
      <protection locked="0" hidden="1"/>
    </xf>
    <xf numFmtId="0" fontId="1" fillId="0" borderId="10" xfId="0" applyFont="1" applyBorder="1" applyAlignment="1">
      <alignment horizontal="left" indent="1"/>
    </xf>
    <xf numFmtId="0" fontId="0" fillId="0" borderId="11" xfId="0" applyBorder="1"/>
    <xf numFmtId="0" fontId="5" fillId="0" borderId="11" xfId="0" applyFont="1" applyBorder="1" applyAlignment="1">
      <alignment horizontal="left" vertical="center" indent="1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indent="1"/>
    </xf>
    <xf numFmtId="0" fontId="10" fillId="0" borderId="15" xfId="0" applyFont="1" applyBorder="1" applyAlignment="1">
      <alignment horizontal="left" indent="1"/>
    </xf>
    <xf numFmtId="0" fontId="5" fillId="0" borderId="16" xfId="0" applyFont="1" applyBorder="1"/>
    <xf numFmtId="0" fontId="5" fillId="0" borderId="16" xfId="0" applyFont="1" applyBorder="1" applyAlignment="1">
      <alignment horizontal="left" vertical="center" indent="1"/>
    </xf>
    <xf numFmtId="0" fontId="5" fillId="0" borderId="10" xfId="0" applyFont="1" applyBorder="1" applyAlignment="1">
      <alignment horizontal="left" vertical="center" indent="1"/>
    </xf>
    <xf numFmtId="0" fontId="5" fillId="0" borderId="12" xfId="0" applyFont="1" applyBorder="1" applyAlignment="1">
      <alignment horizontal="left" vertical="center" indent="1"/>
    </xf>
    <xf numFmtId="0" fontId="5" fillId="0" borderId="1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48" xfId="0" applyFont="1" applyBorder="1" applyAlignment="1">
      <alignment horizontal="right" vertical="center" indent="2"/>
    </xf>
    <xf numFmtId="164" fontId="10" fillId="0" borderId="49" xfId="0" applyNumberFormat="1" applyFont="1" applyFill="1" applyBorder="1" applyAlignment="1">
      <alignment horizontal="right" vertical="center" indent="1"/>
    </xf>
    <xf numFmtId="0" fontId="12" fillId="0" borderId="0" xfId="0" applyFont="1" applyAlignment="1">
      <alignment horizontal="right" vertical="center" indent="1"/>
    </xf>
    <xf numFmtId="0" fontId="10" fillId="3" borderId="43" xfId="0" applyFont="1" applyFill="1" applyBorder="1" applyAlignment="1">
      <alignment horizontal="left" vertical="center" indent="1"/>
    </xf>
    <xf numFmtId="0" fontId="5" fillId="3" borderId="44" xfId="0" applyFont="1" applyFill="1" applyBorder="1" applyAlignment="1">
      <alignment horizontal="center" vertical="center"/>
    </xf>
    <xf numFmtId="0" fontId="5" fillId="3" borderId="44" xfId="0" applyFont="1" applyFill="1" applyBorder="1" applyAlignment="1">
      <alignment horizontal="left" vertical="center" indent="1"/>
    </xf>
    <xf numFmtId="0" fontId="12" fillId="6" borderId="36" xfId="0" applyFont="1" applyFill="1" applyBorder="1" applyAlignment="1">
      <alignment horizontal="right" vertical="top"/>
    </xf>
    <xf numFmtId="0" fontId="10" fillId="0" borderId="46" xfId="0" applyFont="1" applyBorder="1" applyAlignment="1">
      <alignment horizontal="left" vertical="center" indent="1"/>
    </xf>
    <xf numFmtId="0" fontId="10" fillId="0" borderId="15" xfId="0" applyFont="1" applyBorder="1" applyAlignment="1">
      <alignment horizontal="left" vertical="center" indent="1"/>
    </xf>
    <xf numFmtId="0" fontId="10" fillId="13" borderId="47" xfId="0" applyFont="1" applyFill="1" applyBorder="1" applyAlignment="1">
      <alignment horizontal="left" vertical="center" indent="1"/>
    </xf>
    <xf numFmtId="0" fontId="10" fillId="13" borderId="48" xfId="0" applyFont="1" applyFill="1" applyBorder="1" applyAlignment="1">
      <alignment vertical="center"/>
    </xf>
    <xf numFmtId="0" fontId="10" fillId="3" borderId="48" xfId="0" applyFont="1" applyFill="1" applyBorder="1" applyAlignment="1">
      <alignment horizontal="right" vertical="center"/>
    </xf>
    <xf numFmtId="0" fontId="10" fillId="13" borderId="48" xfId="0" applyFont="1" applyFill="1" applyBorder="1" applyAlignment="1">
      <alignment horizontal="right" vertical="center"/>
    </xf>
    <xf numFmtId="0" fontId="9" fillId="0" borderId="0" xfId="0" applyFont="1" applyFill="1"/>
    <xf numFmtId="0" fontId="18" fillId="0" borderId="0" xfId="0" applyFont="1"/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 indent="1"/>
    </xf>
    <xf numFmtId="0" fontId="18" fillId="0" borderId="0" xfId="0" applyFont="1" applyAlignment="1">
      <alignment horizontal="right"/>
    </xf>
    <xf numFmtId="0" fontId="20" fillId="0" borderId="0" xfId="0" applyFont="1" applyAlignment="1">
      <alignment horizontal="left" vertical="center" indent="2"/>
    </xf>
    <xf numFmtId="0" fontId="5" fillId="0" borderId="0" xfId="0" applyFont="1" applyFill="1" applyBorder="1" applyAlignment="1" applyProtection="1">
      <alignment horizontal="left" vertical="center" indent="1"/>
    </xf>
    <xf numFmtId="0" fontId="5" fillId="0" borderId="0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/>
    </xf>
    <xf numFmtId="0" fontId="9" fillId="3" borderId="0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top"/>
    </xf>
    <xf numFmtId="0" fontId="3" fillId="0" borderId="0" xfId="0" applyFont="1" applyFill="1" applyBorder="1" applyAlignment="1" applyProtection="1">
      <alignment horizontal="left" vertical="center"/>
    </xf>
    <xf numFmtId="0" fontId="17" fillId="0" borderId="0" xfId="0" applyFont="1" applyFill="1" applyBorder="1" applyAlignment="1" applyProtection="1">
      <alignment horizontal="left" vertical="center"/>
    </xf>
    <xf numFmtId="0" fontId="18" fillId="0" borderId="0" xfId="0" applyFont="1" applyFill="1" applyBorder="1" applyAlignment="1" applyProtection="1">
      <alignment horizontal="left" vertical="center"/>
    </xf>
    <xf numFmtId="0" fontId="18" fillId="0" borderId="0" xfId="0" applyFont="1" applyFill="1" applyProtection="1"/>
    <xf numFmtId="0" fontId="18" fillId="0" borderId="0" xfId="0" applyFont="1" applyFill="1" applyBorder="1" applyAlignment="1" applyProtection="1">
      <alignment horizontal="left" vertical="center" indent="1"/>
    </xf>
    <xf numFmtId="0" fontId="5" fillId="0" borderId="0" xfId="0" applyFont="1" applyFill="1" applyProtection="1"/>
    <xf numFmtId="0" fontId="6" fillId="0" borderId="0" xfId="0" applyFont="1" applyFill="1" applyBorder="1" applyAlignment="1" applyProtection="1">
      <alignment horizontal="center"/>
    </xf>
    <xf numFmtId="0" fontId="12" fillId="0" borderId="0" xfId="0" applyFont="1" applyFill="1" applyBorder="1" applyAlignment="1" applyProtection="1">
      <alignment horizontal="left" vertical="center" indent="1"/>
      <protection hidden="1"/>
    </xf>
    <xf numFmtId="164" fontId="9" fillId="0" borderId="0" xfId="0" applyNumberFormat="1" applyFont="1" applyFill="1" applyBorder="1" applyAlignment="1" applyProtection="1">
      <alignment horizontal="right" vertical="top" indent="1"/>
    </xf>
    <xf numFmtId="0" fontId="12" fillId="0" borderId="0" xfId="0" applyFont="1" applyFill="1" applyBorder="1" applyAlignment="1" applyProtection="1">
      <alignment horizontal="center"/>
    </xf>
    <xf numFmtId="164" fontId="5" fillId="0" borderId="0" xfId="0" applyNumberFormat="1" applyFont="1" applyFill="1" applyBorder="1" applyAlignment="1" applyProtection="1">
      <alignment horizontal="right" indent="1"/>
    </xf>
    <xf numFmtId="164" fontId="10" fillId="0" borderId="0" xfId="0" applyNumberFormat="1" applyFont="1" applyFill="1" applyBorder="1" applyAlignment="1" applyProtection="1">
      <alignment horizontal="right" vertical="center" indent="1"/>
    </xf>
    <xf numFmtId="164" fontId="12" fillId="0" borderId="0" xfId="0" applyNumberFormat="1" applyFont="1" applyFill="1" applyBorder="1" applyAlignment="1" applyProtection="1">
      <alignment horizontal="right" indent="1"/>
    </xf>
    <xf numFmtId="164" fontId="10" fillId="0" borderId="0" xfId="0" applyNumberFormat="1" applyFont="1" applyFill="1" applyBorder="1" applyAlignment="1" applyProtection="1">
      <alignment horizontal="right" indent="1"/>
    </xf>
    <xf numFmtId="164" fontId="11" fillId="0" borderId="0" xfId="0" applyNumberFormat="1" applyFont="1" applyFill="1" applyBorder="1" applyAlignment="1" applyProtection="1">
      <alignment horizontal="right" vertical="center" wrapText="1" indent="1"/>
    </xf>
    <xf numFmtId="0" fontId="12" fillId="0" borderId="0" xfId="0" applyFont="1" applyFill="1" applyAlignment="1" applyProtection="1">
      <alignment horizontal="right" vertical="center" indent="1"/>
    </xf>
    <xf numFmtId="0" fontId="5" fillId="0" borderId="0" xfId="0" applyFont="1" applyFill="1" applyBorder="1" applyAlignment="1" applyProtection="1">
      <alignment horizontal="left" vertical="center" indent="1"/>
      <protection hidden="1"/>
    </xf>
    <xf numFmtId="0" fontId="5" fillId="0" borderId="0" xfId="0" applyFont="1" applyFill="1" applyBorder="1" applyAlignment="1" applyProtection="1">
      <alignment horizontal="left" vertical="center"/>
      <protection hidden="1"/>
    </xf>
    <xf numFmtId="0" fontId="9" fillId="2" borderId="0" xfId="0" applyFont="1" applyFill="1" applyBorder="1" applyAlignment="1" applyProtection="1">
      <alignment horizontal="left" vertical="center"/>
      <protection hidden="1"/>
    </xf>
    <xf numFmtId="0" fontId="9" fillId="0" borderId="0" xfId="0" applyFont="1" applyFill="1" applyBorder="1" applyAlignment="1" applyProtection="1">
      <alignment horizontal="left" vertical="center"/>
      <protection hidden="1"/>
    </xf>
    <xf numFmtId="0" fontId="11" fillId="0" borderId="0" xfId="0" applyFont="1" applyFill="1" applyBorder="1" applyAlignment="1" applyProtection="1">
      <alignment horizontal="left" vertical="center"/>
      <protection hidden="1"/>
    </xf>
    <xf numFmtId="0" fontId="5" fillId="0" borderId="0" xfId="0" applyFont="1" applyFill="1" applyProtection="1">
      <protection hidden="1"/>
    </xf>
    <xf numFmtId="0" fontId="18" fillId="0" borderId="0" xfId="0" applyFont="1" applyFill="1" applyBorder="1" applyAlignment="1" applyProtection="1">
      <alignment horizontal="left" vertical="center"/>
      <protection hidden="1"/>
    </xf>
    <xf numFmtId="0" fontId="15" fillId="0" borderId="0" xfId="0" applyFont="1" applyFill="1" applyProtection="1">
      <protection hidden="1"/>
    </xf>
    <xf numFmtId="0" fontId="10" fillId="0" borderId="0" xfId="0" applyFont="1" applyFill="1" applyBorder="1" applyAlignment="1" applyProtection="1">
      <alignment horizontal="left" vertical="center"/>
      <protection hidden="1"/>
    </xf>
    <xf numFmtId="0" fontId="16" fillId="0" borderId="0" xfId="0" applyFont="1" applyFill="1" applyBorder="1" applyAlignment="1" applyProtection="1">
      <alignment horizontal="left" vertical="center" indent="1"/>
      <protection hidden="1"/>
    </xf>
    <xf numFmtId="0" fontId="0" fillId="0" borderId="0" xfId="0" applyFill="1" applyProtection="1">
      <protection hidden="1"/>
    </xf>
    <xf numFmtId="0" fontId="6" fillId="0" borderId="0" xfId="0" applyFont="1" applyFill="1" applyBorder="1" applyAlignment="1" applyProtection="1">
      <alignment horizontal="center"/>
      <protection hidden="1"/>
    </xf>
    <xf numFmtId="164" fontId="9" fillId="0" borderId="0" xfId="0" applyNumberFormat="1" applyFont="1" applyFill="1" applyBorder="1" applyAlignment="1" applyProtection="1">
      <alignment horizontal="right" vertical="top" indent="1"/>
      <protection hidden="1"/>
    </xf>
    <xf numFmtId="0" fontId="12" fillId="0" borderId="0" xfId="0" applyFont="1" applyFill="1" applyBorder="1" applyAlignment="1" applyProtection="1">
      <alignment horizontal="center"/>
      <protection hidden="1"/>
    </xf>
    <xf numFmtId="164" fontId="5" fillId="0" borderId="0" xfId="0" applyNumberFormat="1" applyFont="1" applyFill="1" applyBorder="1" applyAlignment="1" applyProtection="1">
      <alignment horizontal="right" indent="1"/>
      <protection hidden="1"/>
    </xf>
    <xf numFmtId="164" fontId="10" fillId="0" borderId="0" xfId="0" applyNumberFormat="1" applyFont="1" applyFill="1" applyBorder="1" applyAlignment="1" applyProtection="1">
      <alignment horizontal="right" vertical="center" indent="1"/>
      <protection hidden="1"/>
    </xf>
    <xf numFmtId="164" fontId="12" fillId="0" borderId="0" xfId="0" applyNumberFormat="1" applyFont="1" applyFill="1" applyBorder="1" applyAlignment="1" applyProtection="1">
      <alignment horizontal="right" indent="1"/>
      <protection hidden="1"/>
    </xf>
    <xf numFmtId="164" fontId="10" fillId="0" borderId="0" xfId="0" applyNumberFormat="1" applyFont="1" applyFill="1" applyBorder="1" applyAlignment="1" applyProtection="1">
      <alignment horizontal="right" indent="1"/>
      <protection hidden="1"/>
    </xf>
    <xf numFmtId="164" fontId="11" fillId="0" borderId="0" xfId="0" applyNumberFormat="1" applyFont="1" applyFill="1" applyBorder="1" applyAlignment="1" applyProtection="1">
      <alignment horizontal="right" vertical="center" wrapText="1" indent="1"/>
      <protection hidden="1"/>
    </xf>
    <xf numFmtId="0" fontId="12" fillId="0" borderId="0" xfId="0" applyFont="1" applyFill="1" applyAlignment="1" applyProtection="1">
      <alignment horizontal="right" vertical="center" indent="1"/>
      <protection hidden="1"/>
    </xf>
    <xf numFmtId="164" fontId="5" fillId="0" borderId="30" xfId="0" applyNumberFormat="1" applyFont="1" applyBorder="1" applyAlignment="1">
      <alignment horizontal="center" vertical="center"/>
    </xf>
    <xf numFmtId="0" fontId="5" fillId="0" borderId="25" xfId="0" applyFont="1" applyBorder="1" applyAlignment="1" applyProtection="1">
      <alignment horizontal="left" vertical="center" indent="1"/>
      <protection locked="0" hidden="1"/>
    </xf>
    <xf numFmtId="164" fontId="14" fillId="0" borderId="7" xfId="0" applyNumberFormat="1" applyFont="1" applyFill="1" applyBorder="1" applyAlignment="1">
      <alignment horizontal="center" vertical="center"/>
    </xf>
    <xf numFmtId="0" fontId="5" fillId="0" borderId="25" xfId="0" applyFont="1" applyBorder="1" applyAlignment="1" applyProtection="1">
      <alignment horizontal="center" vertical="center"/>
      <protection locked="0" hidden="1"/>
    </xf>
    <xf numFmtId="0" fontId="0" fillId="0" borderId="14" xfId="0" applyBorder="1"/>
    <xf numFmtId="0" fontId="0" fillId="0" borderId="17" xfId="0" applyBorder="1"/>
    <xf numFmtId="0" fontId="0" fillId="0" borderId="0" xfId="0" applyAlignment="1">
      <alignment horizontal="right" vertical="center"/>
    </xf>
    <xf numFmtId="164" fontId="9" fillId="6" borderId="22" xfId="0" applyNumberFormat="1" applyFont="1" applyFill="1" applyBorder="1" applyAlignment="1">
      <alignment horizontal="right" vertical="center" indent="1"/>
    </xf>
    <xf numFmtId="0" fontId="17" fillId="0" borderId="0" xfId="0" applyFont="1" applyAlignment="1">
      <alignment horizontal="right"/>
    </xf>
    <xf numFmtId="0" fontId="22" fillId="0" borderId="0" xfId="1" applyFont="1" applyFill="1" applyBorder="1" applyAlignment="1" applyProtection="1">
      <alignment horizontal="left"/>
      <protection hidden="1"/>
    </xf>
    <xf numFmtId="49" fontId="0" fillId="0" borderId="0" xfId="0" applyNumberFormat="1" applyAlignment="1">
      <alignment horizontal="right" vertical="center"/>
    </xf>
    <xf numFmtId="0" fontId="5" fillId="14" borderId="0" xfId="0" applyFont="1" applyFill="1" applyProtection="1">
      <protection hidden="1"/>
    </xf>
    <xf numFmtId="0" fontId="5" fillId="14" borderId="0" xfId="0" applyFont="1" applyFill="1" applyBorder="1" applyAlignment="1" applyProtection="1">
      <alignment horizontal="left" vertical="center"/>
      <protection hidden="1"/>
    </xf>
    <xf numFmtId="0" fontId="18" fillId="14" borderId="0" xfId="0" applyFont="1" applyFill="1" applyBorder="1" applyAlignment="1" applyProtection="1">
      <alignment horizontal="center"/>
      <protection hidden="1"/>
    </xf>
    <xf numFmtId="0" fontId="16" fillId="14" borderId="0" xfId="0" applyFont="1" applyFill="1" applyBorder="1" applyAlignment="1" applyProtection="1">
      <alignment horizontal="center"/>
      <protection hidden="1"/>
    </xf>
    <xf numFmtId="0" fontId="18" fillId="14" borderId="0" xfId="0" applyFont="1" applyFill="1" applyBorder="1" applyAlignment="1" applyProtection="1">
      <alignment horizontal="center" vertical="top"/>
      <protection hidden="1"/>
    </xf>
    <xf numFmtId="0" fontId="16" fillId="14" borderId="0" xfId="0" applyFont="1" applyFill="1" applyBorder="1" applyAlignment="1" applyProtection="1">
      <alignment horizontal="center" vertical="top"/>
      <protection hidden="1"/>
    </xf>
    <xf numFmtId="164" fontId="16" fillId="14" borderId="0" xfId="0" applyNumberFormat="1" applyFont="1" applyFill="1" applyBorder="1" applyAlignment="1" applyProtection="1">
      <alignment horizontal="left"/>
      <protection hidden="1"/>
    </xf>
    <xf numFmtId="0" fontId="0" fillId="14" borderId="0" xfId="0" applyFill="1" applyProtection="1">
      <protection hidden="1"/>
    </xf>
    <xf numFmtId="0" fontId="6" fillId="14" borderId="0" xfId="0" applyFont="1" applyFill="1" applyBorder="1" applyAlignment="1" applyProtection="1">
      <alignment horizontal="center"/>
      <protection hidden="1"/>
    </xf>
    <xf numFmtId="164" fontId="9" fillId="14" borderId="0" xfId="0" applyNumberFormat="1" applyFont="1" applyFill="1" applyBorder="1" applyAlignment="1" applyProtection="1">
      <alignment horizontal="right" vertical="top" indent="1"/>
      <protection hidden="1"/>
    </xf>
    <xf numFmtId="0" fontId="12" fillId="14" borderId="0" xfId="0" applyFont="1" applyFill="1" applyBorder="1" applyAlignment="1" applyProtection="1">
      <alignment horizontal="left" vertical="center" indent="1"/>
      <protection hidden="1"/>
    </xf>
    <xf numFmtId="0" fontId="12" fillId="14" borderId="0" xfId="0" applyFont="1" applyFill="1" applyBorder="1" applyAlignment="1" applyProtection="1">
      <alignment horizontal="center"/>
      <protection hidden="1"/>
    </xf>
    <xf numFmtId="164" fontId="5" fillId="14" borderId="0" xfId="0" applyNumberFormat="1" applyFont="1" applyFill="1" applyBorder="1" applyAlignment="1" applyProtection="1">
      <alignment horizontal="right" indent="1"/>
      <protection hidden="1"/>
    </xf>
    <xf numFmtId="164" fontId="12" fillId="14" borderId="0" xfId="0" applyNumberFormat="1" applyFont="1" applyFill="1" applyBorder="1" applyAlignment="1" applyProtection="1">
      <alignment horizontal="right" indent="1"/>
      <protection hidden="1"/>
    </xf>
    <xf numFmtId="164" fontId="10" fillId="14" borderId="0" xfId="0" applyNumberFormat="1" applyFont="1" applyFill="1" applyBorder="1" applyAlignment="1" applyProtection="1">
      <alignment horizontal="right" indent="1"/>
      <protection hidden="1"/>
    </xf>
    <xf numFmtId="164" fontId="11" fillId="14" borderId="0" xfId="0" applyNumberFormat="1" applyFont="1" applyFill="1" applyBorder="1" applyAlignment="1" applyProtection="1">
      <alignment horizontal="right" vertical="center" wrapText="1" indent="1"/>
      <protection hidden="1"/>
    </xf>
    <xf numFmtId="0" fontId="5" fillId="0" borderId="0" xfId="0" applyFont="1" applyFill="1"/>
    <xf numFmtId="0" fontId="0" fillId="0" borderId="0" xfId="0" applyFill="1" applyAlignment="1">
      <alignment horizontal="right"/>
    </xf>
    <xf numFmtId="0" fontId="5" fillId="0" borderId="0" xfId="0" applyFont="1" applyFill="1" applyAlignment="1">
      <alignment horizontal="right"/>
    </xf>
    <xf numFmtId="0" fontId="18" fillId="0" borderId="0" xfId="0" applyFont="1" applyFill="1"/>
    <xf numFmtId="0" fontId="18" fillId="0" borderId="0" xfId="0" applyFont="1" applyFill="1" applyAlignment="1">
      <alignment horizontal="right"/>
    </xf>
    <xf numFmtId="0" fontId="17" fillId="0" borderId="0" xfId="0" applyFont="1" applyFill="1"/>
    <xf numFmtId="0" fontId="5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13" xfId="0" applyFill="1" applyBorder="1"/>
    <xf numFmtId="0" fontId="0" fillId="0" borderId="14" xfId="0" applyFont="1" applyFill="1" applyBorder="1"/>
    <xf numFmtId="0" fontId="0" fillId="0" borderId="0" xfId="0" applyFill="1" applyAlignment="1">
      <alignment horizontal="center"/>
    </xf>
    <xf numFmtId="0" fontId="0" fillId="0" borderId="15" xfId="0" applyFill="1" applyBorder="1"/>
    <xf numFmtId="0" fontId="0" fillId="0" borderId="16" xfId="0" applyFill="1" applyBorder="1"/>
    <xf numFmtId="0" fontId="0" fillId="0" borderId="17" xfId="0" applyFont="1" applyFill="1" applyBorder="1"/>
    <xf numFmtId="0" fontId="2" fillId="0" borderId="0" xfId="0" applyFont="1" applyFill="1" applyAlignment="1"/>
    <xf numFmtId="0" fontId="2" fillId="0" borderId="0" xfId="0" applyFont="1" applyFill="1" applyAlignment="1">
      <alignment horizontal="right" inden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center"/>
    </xf>
    <xf numFmtId="0" fontId="1" fillId="0" borderId="5" xfId="0" applyFont="1" applyFill="1" applyBorder="1" applyAlignment="1">
      <alignment horizontal="left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22" fillId="0" borderId="0" xfId="1" applyFont="1" applyFill="1" applyAlignment="1">
      <alignment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horizontal="right"/>
    </xf>
    <xf numFmtId="0" fontId="0" fillId="9" borderId="0" xfId="0" applyFill="1"/>
    <xf numFmtId="0" fontId="5" fillId="14" borderId="0" xfId="0" applyFont="1" applyFill="1" applyProtection="1"/>
    <xf numFmtId="0" fontId="15" fillId="14" borderId="0" xfId="0" applyFont="1" applyFill="1" applyProtection="1"/>
    <xf numFmtId="0" fontId="0" fillId="14" borderId="0" xfId="0" applyFill="1" applyProtection="1"/>
    <xf numFmtId="0" fontId="6" fillId="14" borderId="0" xfId="0" applyFont="1" applyFill="1" applyBorder="1" applyAlignment="1" applyProtection="1">
      <alignment horizontal="center"/>
    </xf>
    <xf numFmtId="164" fontId="9" fillId="14" borderId="0" xfId="0" applyNumberFormat="1" applyFont="1" applyFill="1" applyBorder="1" applyAlignment="1" applyProtection="1">
      <alignment horizontal="right" vertical="top" indent="1"/>
    </xf>
    <xf numFmtId="0" fontId="12" fillId="14" borderId="0" xfId="0" applyFont="1" applyFill="1" applyBorder="1" applyAlignment="1" applyProtection="1">
      <alignment horizontal="center"/>
    </xf>
    <xf numFmtId="164" fontId="5" fillId="14" borderId="0" xfId="0" applyNumberFormat="1" applyFont="1" applyFill="1" applyBorder="1" applyAlignment="1" applyProtection="1">
      <alignment horizontal="right" indent="1"/>
    </xf>
    <xf numFmtId="164" fontId="10" fillId="14" borderId="0" xfId="0" applyNumberFormat="1" applyFont="1" applyFill="1" applyBorder="1" applyAlignment="1" applyProtection="1">
      <alignment horizontal="right" vertical="center" indent="1"/>
    </xf>
    <xf numFmtId="164" fontId="12" fillId="14" borderId="0" xfId="0" applyNumberFormat="1" applyFont="1" applyFill="1" applyBorder="1" applyAlignment="1" applyProtection="1">
      <alignment horizontal="right" indent="1"/>
    </xf>
    <xf numFmtId="164" fontId="10" fillId="14" borderId="0" xfId="0" applyNumberFormat="1" applyFont="1" applyFill="1" applyBorder="1" applyAlignment="1" applyProtection="1">
      <alignment horizontal="right" indent="1"/>
    </xf>
    <xf numFmtId="164" fontId="11" fillId="14" borderId="0" xfId="0" applyNumberFormat="1" applyFont="1" applyFill="1" applyBorder="1" applyAlignment="1" applyProtection="1">
      <alignment horizontal="right" vertical="center" wrapText="1" indent="1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horizontal="left" vertical="center" indent="1"/>
    </xf>
    <xf numFmtId="0" fontId="28" fillId="0" borderId="0" xfId="0" applyFont="1"/>
    <xf numFmtId="0" fontId="27" fillId="0" borderId="0" xfId="0" applyFont="1" applyAlignment="1">
      <alignment horizontal="left" vertical="center" indent="2"/>
    </xf>
    <xf numFmtId="0" fontId="29" fillId="0" borderId="0" xfId="0" applyFont="1" applyAlignment="1">
      <alignment horizontal="right" indent="1"/>
    </xf>
    <xf numFmtId="0" fontId="3" fillId="2" borderId="0" xfId="0" applyFont="1" applyFill="1" applyBorder="1" applyAlignment="1" applyProtection="1">
      <alignment horizontal="left"/>
      <protection hidden="1"/>
    </xf>
    <xf numFmtId="0" fontId="3" fillId="2" borderId="0" xfId="0" applyFont="1" applyFill="1" applyBorder="1" applyAlignment="1" applyProtection="1">
      <alignment horizontal="left" vertical="center"/>
      <protection hidden="1"/>
    </xf>
    <xf numFmtId="0" fontId="3" fillId="2" borderId="0" xfId="0" applyFont="1" applyFill="1" applyBorder="1" applyAlignment="1" applyProtection="1">
      <alignment horizontal="left" vertical="top"/>
      <protection hidden="1"/>
    </xf>
    <xf numFmtId="0" fontId="1" fillId="3" borderId="43" xfId="0" applyFont="1" applyFill="1" applyBorder="1" applyAlignment="1">
      <alignment horizontal="left" vertical="center" indent="1"/>
    </xf>
    <xf numFmtId="0" fontId="18" fillId="0" borderId="0" xfId="0" applyFont="1" applyFill="1" applyProtection="1">
      <protection hidden="1"/>
    </xf>
    <xf numFmtId="0" fontId="24" fillId="0" borderId="0" xfId="0" applyFont="1" applyFill="1" applyAlignment="1" applyProtection="1">
      <alignment horizontal="right" indent="1"/>
      <protection hidden="1"/>
    </xf>
    <xf numFmtId="0" fontId="5" fillId="0" borderId="25" xfId="0" applyFont="1" applyBorder="1" applyAlignment="1" applyProtection="1">
      <alignment horizontal="left" vertical="center" indent="1"/>
      <protection locked="0" hidden="1"/>
    </xf>
    <xf numFmtId="0" fontId="5" fillId="0" borderId="25" xfId="0" applyFont="1" applyBorder="1" applyAlignment="1" applyProtection="1">
      <alignment horizontal="center" vertical="center"/>
      <protection locked="0" hidden="1"/>
    </xf>
    <xf numFmtId="0" fontId="12" fillId="0" borderId="0" xfId="0" applyFont="1" applyAlignment="1">
      <alignment horizontal="right" vertical="top" indent="1"/>
    </xf>
    <xf numFmtId="0" fontId="0" fillId="0" borderId="0" xfId="0" applyAlignment="1">
      <alignment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0" fontId="0" fillId="0" borderId="0" xfId="0" applyAlignment="1">
      <alignment horizontal="left" vertical="top" indent="1"/>
    </xf>
    <xf numFmtId="0" fontId="5" fillId="0" borderId="0" xfId="0" applyFont="1" applyAlignment="1">
      <alignment horizontal="left" vertical="top" indent="1"/>
    </xf>
    <xf numFmtId="164" fontId="11" fillId="0" borderId="0" xfId="0" applyNumberFormat="1" applyFont="1" applyFill="1" applyBorder="1" applyAlignment="1" applyProtection="1">
      <alignment horizontal="left" vertical="top" wrapText="1" indent="1"/>
      <protection hidden="1"/>
    </xf>
    <xf numFmtId="164" fontId="9" fillId="0" borderId="0" xfId="0" applyNumberFormat="1" applyFont="1" applyFill="1" applyBorder="1" applyAlignment="1" applyProtection="1">
      <alignment horizontal="left" vertical="top" indent="1"/>
      <protection hidden="1"/>
    </xf>
    <xf numFmtId="164" fontId="10" fillId="0" borderId="0" xfId="0" applyNumberFormat="1" applyFont="1" applyFill="1" applyBorder="1" applyAlignment="1" applyProtection="1">
      <alignment horizontal="left" vertical="top" indent="1"/>
      <protection hidden="1"/>
    </xf>
    <xf numFmtId="0" fontId="5" fillId="0" borderId="0" xfId="0" applyFont="1" applyFill="1" applyAlignment="1">
      <alignment horizontal="left" vertical="top" indent="1"/>
    </xf>
    <xf numFmtId="0" fontId="0" fillId="0" borderId="0" xfId="0" applyFill="1" applyAlignment="1">
      <alignment horizontal="left" vertical="top" indent="1"/>
    </xf>
    <xf numFmtId="0" fontId="10" fillId="0" borderId="0" xfId="0" applyFont="1" applyBorder="1" applyAlignment="1">
      <alignment vertical="top"/>
    </xf>
    <xf numFmtId="0" fontId="12" fillId="0" borderId="0" xfId="0" applyFont="1" applyAlignment="1">
      <alignment horizontal="right" vertical="top"/>
    </xf>
    <xf numFmtId="0" fontId="12" fillId="0" borderId="0" xfId="0" applyFont="1" applyFill="1" applyAlignment="1" applyProtection="1">
      <alignment horizontal="right" vertical="top"/>
      <protection hidden="1"/>
    </xf>
    <xf numFmtId="164" fontId="10" fillId="0" borderId="0" xfId="0" applyNumberFormat="1" applyFont="1" applyFill="1" applyBorder="1" applyAlignment="1" applyProtection="1">
      <alignment horizontal="right" vertical="top"/>
    </xf>
    <xf numFmtId="0" fontId="0" fillId="0" borderId="0" xfId="0" applyAlignment="1">
      <alignment horizontal="right" vertical="top"/>
    </xf>
    <xf numFmtId="0" fontId="28" fillId="0" borderId="0" xfId="0" applyFont="1" applyAlignment="1">
      <alignment horizontal="left" vertical="top" indent="1"/>
    </xf>
    <xf numFmtId="0" fontId="0" fillId="0" borderId="0" xfId="0" applyFont="1" applyAlignment="1">
      <alignment horizontal="left" vertical="center" indent="1"/>
    </xf>
    <xf numFmtId="0" fontId="0" fillId="0" borderId="0" xfId="0" applyFont="1" applyAlignment="1">
      <alignment horizontal="center" vertical="center"/>
    </xf>
    <xf numFmtId="164" fontId="1" fillId="0" borderId="0" xfId="0" applyNumberFormat="1" applyFont="1" applyFill="1" applyBorder="1" applyAlignment="1" applyProtection="1">
      <alignment horizontal="right" vertical="center" indent="1"/>
      <protection hidden="1"/>
    </xf>
    <xf numFmtId="164" fontId="0" fillId="0" borderId="0" xfId="0" applyNumberFormat="1" applyFont="1" applyFill="1" applyBorder="1" applyAlignment="1" applyProtection="1">
      <alignment horizontal="right" indent="1"/>
      <protection hidden="1"/>
    </xf>
    <xf numFmtId="0" fontId="0" fillId="0" borderId="0" xfId="0" applyFont="1" applyFill="1"/>
    <xf numFmtId="0" fontId="0" fillId="0" borderId="0" xfId="0" applyFont="1" applyFill="1" applyAlignment="1">
      <alignment horizontal="right"/>
    </xf>
    <xf numFmtId="0" fontId="0" fillId="0" borderId="0" xfId="0" applyFont="1" applyAlignment="1">
      <alignment horizontal="left" vertical="top" indent="1"/>
    </xf>
    <xf numFmtId="164" fontId="1" fillId="0" borderId="0" xfId="0" applyNumberFormat="1" applyFont="1" applyFill="1" applyBorder="1" applyAlignment="1" applyProtection="1">
      <alignment horizontal="left" vertical="top" indent="1"/>
      <protection hidden="1"/>
    </xf>
    <xf numFmtId="0" fontId="0" fillId="0" borderId="0" xfId="0" applyFont="1" applyFill="1" applyAlignment="1">
      <alignment horizontal="left" vertical="top" indent="1"/>
    </xf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left" vertical="top" indent="1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top"/>
    </xf>
    <xf numFmtId="0" fontId="30" fillId="0" borderId="0" xfId="1" applyFont="1" applyAlignment="1" applyProtection="1">
      <alignment horizontal="right" vertical="center" indent="3"/>
      <protection locked="0"/>
    </xf>
    <xf numFmtId="0" fontId="23" fillId="0" borderId="0" xfId="1" applyFont="1" applyAlignment="1" applyProtection="1">
      <alignment horizontal="right" vertical="center" indent="1"/>
      <protection locked="0"/>
    </xf>
    <xf numFmtId="0" fontId="31" fillId="0" borderId="0" xfId="0" applyFont="1" applyAlignment="1">
      <alignment horizontal="right"/>
    </xf>
    <xf numFmtId="0" fontId="31" fillId="0" borderId="0" xfId="0" applyFont="1" applyAlignment="1">
      <alignment horizontal="left" vertical="top" indent="1"/>
    </xf>
    <xf numFmtId="0" fontId="17" fillId="0" borderId="0" xfId="0" applyFont="1"/>
    <xf numFmtId="3" fontId="17" fillId="0" borderId="0" xfId="0" applyNumberFormat="1" applyFont="1"/>
    <xf numFmtId="0" fontId="0" fillId="0" borderId="0" xfId="0" applyFill="1" applyBorder="1" applyAlignment="1">
      <alignment vertical="center"/>
    </xf>
    <xf numFmtId="0" fontId="32" fillId="12" borderId="47" xfId="0" applyFont="1" applyFill="1" applyBorder="1" applyAlignment="1">
      <alignment horizontal="left" vertical="center" indent="1"/>
    </xf>
    <xf numFmtId="0" fontId="33" fillId="12" borderId="48" xfId="0" applyFont="1" applyFill="1" applyBorder="1" applyAlignment="1">
      <alignment vertical="center"/>
    </xf>
    <xf numFmtId="0" fontId="33" fillId="12" borderId="48" xfId="0" applyFont="1" applyFill="1" applyBorder="1" applyAlignment="1">
      <alignment horizontal="right" vertical="center"/>
    </xf>
    <xf numFmtId="0" fontId="33" fillId="0" borderId="53" xfId="0" applyFont="1" applyBorder="1" applyAlignment="1">
      <alignment horizontal="right" vertical="center" indent="2"/>
    </xf>
    <xf numFmtId="164" fontId="33" fillId="0" borderId="9" xfId="0" applyNumberFormat="1" applyFont="1" applyFill="1" applyBorder="1" applyAlignment="1">
      <alignment horizontal="right" vertical="center" indent="1"/>
    </xf>
    <xf numFmtId="0" fontId="1" fillId="0" borderId="58" xfId="0" applyFont="1" applyBorder="1" applyAlignment="1">
      <alignment horizontal="center" vertical="center" textRotation="90" wrapText="1"/>
    </xf>
    <xf numFmtId="0" fontId="1" fillId="0" borderId="51" xfId="0" applyFont="1" applyBorder="1" applyAlignment="1">
      <alignment horizontal="center" vertical="center" textRotation="90" wrapText="1"/>
    </xf>
    <xf numFmtId="0" fontId="1" fillId="0" borderId="57" xfId="0" applyFont="1" applyBorder="1" applyAlignment="1">
      <alignment horizontal="center" vertical="center" textRotation="90" wrapText="1"/>
    </xf>
    <xf numFmtId="0" fontId="5" fillId="6" borderId="56" xfId="0" applyFont="1" applyFill="1" applyBorder="1" applyAlignment="1">
      <alignment horizontal="center" vertical="center" textRotation="90" wrapText="1"/>
    </xf>
    <xf numFmtId="0" fontId="5" fillId="6" borderId="4" xfId="0" applyFont="1" applyFill="1" applyBorder="1" applyAlignment="1">
      <alignment horizontal="center" vertical="center" textRotation="90" wrapText="1"/>
    </xf>
    <xf numFmtId="0" fontId="5" fillId="6" borderId="0" xfId="0" applyFont="1" applyFill="1" applyBorder="1" applyAlignment="1">
      <alignment horizontal="center" vertical="center" textRotation="90" wrapText="1"/>
    </xf>
    <xf numFmtId="0" fontId="5" fillId="6" borderId="7" xfId="0" applyFont="1" applyFill="1" applyBorder="1" applyAlignment="1">
      <alignment horizontal="center" vertical="center" textRotation="90" wrapText="1"/>
    </xf>
    <xf numFmtId="0" fontId="6" fillId="10" borderId="3" xfId="0" applyFont="1" applyFill="1" applyBorder="1" applyAlignment="1">
      <alignment horizontal="left" vertical="center" indent="1"/>
    </xf>
    <xf numFmtId="0" fontId="6" fillId="10" borderId="20" xfId="0" applyFont="1" applyFill="1" applyBorder="1" applyAlignment="1">
      <alignment horizontal="left" vertical="center" indent="1"/>
    </xf>
    <xf numFmtId="0" fontId="6" fillId="10" borderId="0" xfId="0" applyFont="1" applyFill="1" applyBorder="1" applyAlignment="1">
      <alignment horizontal="left" vertical="center" indent="1"/>
    </xf>
    <xf numFmtId="0" fontId="6" fillId="10" borderId="4" xfId="0" applyFont="1" applyFill="1" applyBorder="1" applyAlignment="1">
      <alignment horizontal="left" vertical="center" indent="1"/>
    </xf>
    <xf numFmtId="0" fontId="5" fillId="0" borderId="25" xfId="0" applyFont="1" applyBorder="1" applyAlignment="1" applyProtection="1">
      <alignment horizontal="left" vertical="center" indent="1"/>
      <protection locked="0" hidden="1"/>
    </xf>
    <xf numFmtId="0" fontId="0" fillId="3" borderId="1" xfId="0" applyFont="1" applyFill="1" applyBorder="1" applyAlignment="1">
      <alignment horizontal="center" vertical="center" textRotation="90" wrapText="1"/>
    </xf>
    <xf numFmtId="0" fontId="0" fillId="3" borderId="0" xfId="0" applyFont="1" applyFill="1" applyBorder="1" applyAlignment="1">
      <alignment horizontal="center" vertical="center" textRotation="90" wrapText="1"/>
    </xf>
    <xf numFmtId="0" fontId="0" fillId="3" borderId="7" xfId="0" applyFont="1" applyFill="1" applyBorder="1" applyAlignment="1">
      <alignment horizontal="center" vertical="center" textRotation="90" wrapText="1"/>
    </xf>
    <xf numFmtId="164" fontId="5" fillId="0" borderId="30" xfId="0" applyNumberFormat="1" applyFont="1" applyBorder="1" applyAlignment="1">
      <alignment horizontal="center" vertical="center"/>
    </xf>
    <xf numFmtId="164" fontId="5" fillId="0" borderId="31" xfId="0" applyNumberFormat="1" applyFont="1" applyBorder="1" applyAlignment="1">
      <alignment horizontal="center" vertical="center"/>
    </xf>
    <xf numFmtId="0" fontId="5" fillId="0" borderId="25" xfId="0" applyFont="1" applyBorder="1" applyAlignment="1" applyProtection="1">
      <alignment horizontal="center" vertical="center"/>
      <protection locked="0" hidden="1"/>
    </xf>
    <xf numFmtId="0" fontId="12" fillId="0" borderId="26" xfId="0" applyFont="1" applyBorder="1" applyAlignment="1" applyProtection="1">
      <alignment horizontal="center" vertical="center" wrapText="1"/>
      <protection locked="0"/>
    </xf>
    <xf numFmtId="0" fontId="12" fillId="0" borderId="29" xfId="0" applyFont="1" applyBorder="1" applyAlignment="1" applyProtection="1">
      <alignment horizontal="center" vertical="center" wrapText="1"/>
      <protection locked="0"/>
    </xf>
    <xf numFmtId="164" fontId="14" fillId="0" borderId="19" xfId="0" applyNumberFormat="1" applyFont="1" applyFill="1" applyBorder="1" applyAlignment="1">
      <alignment horizontal="center"/>
    </xf>
    <xf numFmtId="164" fontId="14" fillId="0" borderId="7" xfId="0" applyNumberFormat="1" applyFont="1" applyFill="1" applyBorder="1" applyAlignment="1">
      <alignment horizontal="center"/>
    </xf>
    <xf numFmtId="164" fontId="14" fillId="0" borderId="19" xfId="0" applyNumberFormat="1" applyFont="1" applyFill="1" applyBorder="1" applyAlignment="1">
      <alignment horizontal="center" vertical="center"/>
    </xf>
    <xf numFmtId="164" fontId="14" fillId="0" borderId="5" xfId="0" applyNumberFormat="1" applyFont="1" applyFill="1" applyBorder="1" applyAlignment="1">
      <alignment horizontal="center" vertical="center"/>
    </xf>
    <xf numFmtId="164" fontId="14" fillId="0" borderId="7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right" vertical="center" wrapText="1"/>
    </xf>
    <xf numFmtId="0" fontId="5" fillId="3" borderId="19" xfId="0" applyFont="1" applyFill="1" applyBorder="1" applyAlignment="1">
      <alignment horizontal="right" vertical="center" wrapText="1"/>
    </xf>
    <xf numFmtId="0" fontId="1" fillId="0" borderId="50" xfId="0" applyFont="1" applyBorder="1" applyAlignment="1">
      <alignment horizontal="center" vertical="center" textRotation="90" wrapText="1"/>
    </xf>
    <xf numFmtId="0" fontId="6" fillId="3" borderId="2" xfId="0" applyFont="1" applyFill="1" applyBorder="1" applyAlignment="1">
      <alignment horizontal="left" vertical="center" wrapText="1" indent="1"/>
    </xf>
    <xf numFmtId="0" fontId="6" fillId="8" borderId="2" xfId="0" applyFont="1" applyFill="1" applyBorder="1" applyAlignment="1">
      <alignment horizontal="left" vertical="center" wrapText="1" indent="1"/>
    </xf>
    <xf numFmtId="0" fontId="6" fillId="8" borderId="18" xfId="0" applyFont="1" applyFill="1" applyBorder="1" applyAlignment="1">
      <alignment horizontal="left" vertical="center" wrapText="1" indent="1"/>
    </xf>
    <xf numFmtId="0" fontId="5" fillId="0" borderId="13" xfId="0" applyFont="1" applyBorder="1" applyAlignment="1" applyProtection="1">
      <alignment horizontal="left" indent="1"/>
      <protection locked="0"/>
    </xf>
    <xf numFmtId="0" fontId="5" fillId="0" borderId="0" xfId="0" applyFont="1" applyBorder="1" applyAlignment="1" applyProtection="1">
      <alignment horizontal="left" indent="1"/>
      <protection locked="0"/>
    </xf>
    <xf numFmtId="0" fontId="5" fillId="0" borderId="14" xfId="0" applyFont="1" applyBorder="1" applyAlignment="1" applyProtection="1">
      <alignment horizontal="left" indent="1"/>
      <protection locked="0"/>
    </xf>
    <xf numFmtId="0" fontId="5" fillId="0" borderId="13" xfId="0" applyFont="1" applyBorder="1" applyAlignment="1" applyProtection="1">
      <alignment horizontal="left" vertical="center" indent="1"/>
      <protection locked="0"/>
    </xf>
    <xf numFmtId="0" fontId="5" fillId="0" borderId="14" xfId="0" applyFont="1" applyBorder="1" applyAlignment="1" applyProtection="1">
      <alignment horizontal="left" vertical="center" indent="1"/>
      <protection locked="0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24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15" xfId="0" applyFont="1" applyBorder="1" applyAlignment="1" applyProtection="1">
      <alignment horizontal="left" vertical="center" indent="1"/>
      <protection locked="0"/>
    </xf>
    <xf numFmtId="0" fontId="5" fillId="0" borderId="17" xfId="0" applyFont="1" applyBorder="1" applyAlignment="1" applyProtection="1">
      <alignment horizontal="left" vertical="center" indent="1"/>
      <protection locked="0"/>
    </xf>
    <xf numFmtId="0" fontId="5" fillId="0" borderId="44" xfId="0" applyFont="1" applyBorder="1" applyAlignment="1" applyProtection="1">
      <alignment horizontal="left" vertical="center" indent="1"/>
      <protection locked="0"/>
    </xf>
    <xf numFmtId="0" fontId="5" fillId="0" borderId="45" xfId="0" applyFont="1" applyBorder="1" applyAlignment="1" applyProtection="1">
      <alignment horizontal="left" vertical="center" indent="1"/>
      <protection locked="0"/>
    </xf>
    <xf numFmtId="0" fontId="21" fillId="0" borderId="0" xfId="0" applyFont="1" applyAlignment="1">
      <alignment horizontal="center" vertical="center" textRotation="90"/>
    </xf>
    <xf numFmtId="0" fontId="5" fillId="0" borderId="11" xfId="0" applyFont="1" applyBorder="1" applyAlignment="1">
      <alignment horizontal="left" vertical="center" wrapText="1" indent="1"/>
    </xf>
    <xf numFmtId="0" fontId="5" fillId="0" borderId="12" xfId="0" applyFont="1" applyBorder="1" applyAlignment="1">
      <alignment horizontal="left" vertical="center" wrapText="1" indent="1"/>
    </xf>
    <xf numFmtId="0" fontId="5" fillId="0" borderId="0" xfId="0" applyFont="1" applyAlignment="1">
      <alignment horizontal="left" vertical="center" wrapText="1" indent="1"/>
    </xf>
    <xf numFmtId="0" fontId="5" fillId="0" borderId="14" xfId="0" applyFont="1" applyBorder="1" applyAlignment="1">
      <alignment horizontal="left" vertical="center" wrapText="1" indent="1"/>
    </xf>
    <xf numFmtId="0" fontId="10" fillId="3" borderId="54" xfId="0" applyFont="1" applyFill="1" applyBorder="1" applyAlignment="1">
      <alignment horizontal="center" vertical="center"/>
    </xf>
    <xf numFmtId="0" fontId="10" fillId="3" borderId="55" xfId="0" applyFont="1" applyFill="1" applyBorder="1" applyAlignment="1">
      <alignment horizontal="center" vertical="center"/>
    </xf>
    <xf numFmtId="0" fontId="5" fillId="0" borderId="38" xfId="0" applyFont="1" applyBorder="1" applyAlignment="1" applyProtection="1">
      <alignment horizontal="left" vertical="center" indent="1"/>
      <protection locked="0" hidden="1"/>
    </xf>
    <xf numFmtId="0" fontId="5" fillId="0" borderId="39" xfId="0" applyFont="1" applyBorder="1" applyAlignment="1" applyProtection="1">
      <alignment horizontal="left" vertical="center" indent="1"/>
      <protection locked="0" hidden="1"/>
    </xf>
    <xf numFmtId="0" fontId="6" fillId="10" borderId="36" xfId="0" applyFont="1" applyFill="1" applyBorder="1" applyAlignment="1">
      <alignment horizontal="center"/>
    </xf>
    <xf numFmtId="0" fontId="6" fillId="10" borderId="42" xfId="0" applyFont="1" applyFill="1" applyBorder="1" applyAlignment="1">
      <alignment horizontal="center"/>
    </xf>
    <xf numFmtId="0" fontId="5" fillId="0" borderId="38" xfId="0" applyFont="1" applyBorder="1" applyAlignment="1" applyProtection="1">
      <alignment horizontal="center" vertical="center"/>
      <protection locked="0" hidden="1"/>
    </xf>
    <xf numFmtId="0" fontId="5" fillId="0" borderId="39" xfId="0" applyFont="1" applyBorder="1" applyAlignment="1" applyProtection="1">
      <alignment horizontal="center" vertical="center"/>
      <protection locked="0" hidden="1"/>
    </xf>
    <xf numFmtId="164" fontId="14" fillId="0" borderId="30" xfId="0" applyNumberFormat="1" applyFont="1" applyFill="1" applyBorder="1" applyAlignment="1">
      <alignment horizontal="center" vertical="center"/>
    </xf>
    <xf numFmtId="164" fontId="14" fillId="0" borderId="31" xfId="0" applyNumberFormat="1" applyFont="1" applyFill="1" applyBorder="1" applyAlignment="1">
      <alignment horizontal="center" vertical="center"/>
    </xf>
    <xf numFmtId="0" fontId="10" fillId="13" borderId="47" xfId="0" applyFont="1" applyFill="1" applyBorder="1" applyAlignment="1">
      <alignment horizontal="center" vertical="center"/>
    </xf>
    <xf numFmtId="0" fontId="10" fillId="13" borderId="48" xfId="0" applyFont="1" applyFill="1" applyBorder="1" applyAlignment="1">
      <alignment horizontal="center" vertical="center"/>
    </xf>
    <xf numFmtId="0" fontId="1" fillId="0" borderId="52" xfId="0" applyFont="1" applyBorder="1" applyAlignment="1">
      <alignment horizontal="center" vertical="center" textRotation="90" wrapText="1"/>
    </xf>
    <xf numFmtId="0" fontId="5" fillId="6" borderId="11" xfId="0" applyFont="1" applyFill="1" applyBorder="1" applyAlignment="1">
      <alignment horizontal="center" vertical="center" textRotation="90" wrapText="1"/>
    </xf>
    <xf numFmtId="0" fontId="5" fillId="6" borderId="5" xfId="0" applyFont="1" applyFill="1" applyBorder="1" applyAlignment="1">
      <alignment horizontal="center" vertical="center" textRotation="90" wrapText="1"/>
    </xf>
    <xf numFmtId="0" fontId="6" fillId="10" borderId="37" xfId="0" applyFont="1" applyFill="1" applyBorder="1" applyAlignment="1">
      <alignment horizontal="center"/>
    </xf>
    <xf numFmtId="164" fontId="14" fillId="0" borderId="30" xfId="0" applyNumberFormat="1" applyFont="1" applyFill="1" applyBorder="1" applyAlignment="1">
      <alignment horizontal="center"/>
    </xf>
    <xf numFmtId="164" fontId="14" fillId="0" borderId="31" xfId="0" applyNumberFormat="1" applyFont="1" applyFill="1" applyBorder="1" applyAlignment="1">
      <alignment horizontal="center"/>
    </xf>
    <xf numFmtId="0" fontId="6" fillId="8" borderId="40" xfId="0" applyFont="1" applyFill="1" applyBorder="1" applyAlignment="1">
      <alignment horizontal="left" vertical="center" wrapText="1" indent="1"/>
    </xf>
    <xf numFmtId="0" fontId="6" fillId="8" borderId="41" xfId="0" applyFont="1" applyFill="1" applyBorder="1" applyAlignment="1">
      <alignment horizontal="left" vertical="center" wrapText="1" indent="1"/>
    </xf>
    <xf numFmtId="0" fontId="12" fillId="0" borderId="34" xfId="0" applyFont="1" applyBorder="1" applyAlignment="1" applyProtection="1">
      <alignment horizontal="center" vertical="center" wrapText="1"/>
      <protection locked="0"/>
    </xf>
    <xf numFmtId="0" fontId="25" fillId="0" borderId="0" xfId="0" applyFont="1" applyAlignment="1">
      <alignment horizontal="center" vertical="center" textRotation="90"/>
    </xf>
  </cellXfs>
  <cellStyles count="2">
    <cellStyle name="Hypertextový odkaz" xfId="1" builtinId="8"/>
    <cellStyle name="Normální" xfId="0" builtinId="0"/>
  </cellStyles>
  <dxfs count="150">
    <dxf>
      <font>
        <color rgb="FF006100"/>
      </font>
      <fill>
        <patternFill>
          <bgColor rgb="FFC6EF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6100"/>
      </font>
      <fill>
        <patternFill>
          <bgColor rgb="FFC6EF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6100"/>
      </font>
      <fill>
        <patternFill>
          <bgColor rgb="FFC6EF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auto="1"/>
      </font>
      <fill>
        <patternFill>
          <bgColor theme="5" tint="0.59996337778862885"/>
        </patternFill>
      </fill>
    </dxf>
    <dxf>
      <font>
        <b/>
        <i val="0"/>
        <color auto="1"/>
      </font>
      <fill>
        <patternFill>
          <bgColor theme="5" tint="0.59996337778862885"/>
        </patternFill>
      </fill>
    </dxf>
    <dxf>
      <fill>
        <patternFill>
          <bgColor theme="5" tint="-0.24994659260841701"/>
        </patternFill>
      </fill>
    </dxf>
    <dxf>
      <fill>
        <patternFill>
          <bgColor theme="9" tint="0.39994506668294322"/>
        </patternFill>
      </fill>
    </dxf>
    <dxf>
      <font>
        <color rgb="FF006100"/>
      </font>
      <fill>
        <patternFill>
          <bgColor rgb="FFC6EF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6100"/>
      </font>
      <fill>
        <patternFill>
          <bgColor rgb="FFC6EF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6100"/>
      </font>
      <fill>
        <patternFill>
          <bgColor rgb="FFC6EF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6100"/>
      </font>
      <fill>
        <patternFill>
          <bgColor rgb="FFC6EF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6100"/>
      </font>
      <fill>
        <patternFill>
          <bgColor rgb="FFC6EF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6100"/>
      </font>
      <fill>
        <patternFill>
          <bgColor rgb="FFC6EF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9" tint="0.59996337778862885"/>
        </patternFill>
      </fill>
    </dxf>
    <dxf>
      <font>
        <color rgb="FF006100"/>
      </font>
      <fill>
        <patternFill>
          <bgColor rgb="FFC6EF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6100"/>
      </font>
      <fill>
        <patternFill>
          <bgColor rgb="FFC6EF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6100"/>
      </font>
      <fill>
        <patternFill>
          <bgColor rgb="FFC6EF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auto="1"/>
      </font>
      <fill>
        <patternFill>
          <bgColor theme="5" tint="0.59996337778862885"/>
        </patternFill>
      </fill>
    </dxf>
    <dxf>
      <font>
        <color rgb="FF006100"/>
      </font>
      <fill>
        <patternFill>
          <bgColor rgb="FFC6EF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6100"/>
      </font>
      <fill>
        <patternFill>
          <bgColor rgb="FFC6EF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6100"/>
      </font>
      <fill>
        <patternFill>
          <bgColor rgb="FFC6EF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9" tint="0.59996337778862885"/>
        </patternFill>
      </fill>
    </dxf>
    <dxf>
      <font>
        <color rgb="FF006100"/>
      </font>
      <fill>
        <patternFill>
          <bgColor rgb="FFC6EF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6100"/>
      </font>
      <fill>
        <patternFill>
          <bgColor rgb="FFC6EF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6100"/>
      </font>
      <fill>
        <patternFill>
          <bgColor rgb="FFC6EF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auto="1"/>
      </font>
      <fill>
        <patternFill>
          <bgColor theme="5" tint="0.59996337778862885"/>
        </patternFill>
      </fill>
    </dxf>
    <dxf>
      <font>
        <color rgb="FF006100"/>
      </font>
      <fill>
        <patternFill>
          <bgColor rgb="FFC6EF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6100"/>
      </font>
      <fill>
        <patternFill>
          <bgColor rgb="FFC6EF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6100"/>
      </font>
      <fill>
        <patternFill>
          <bgColor rgb="FFC6EF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9" tint="0.59996337778862885"/>
        </patternFill>
      </fill>
    </dxf>
    <dxf>
      <font>
        <color rgb="FF006100"/>
      </font>
      <fill>
        <patternFill>
          <bgColor rgb="FFC6EF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6100"/>
      </font>
      <fill>
        <patternFill>
          <bgColor rgb="FFC6EF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6100"/>
      </font>
      <fill>
        <patternFill>
          <bgColor rgb="FFC6EF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auto="1"/>
      </font>
      <fill>
        <patternFill>
          <bgColor theme="5" tint="0.59996337778862885"/>
        </patternFill>
      </fill>
    </dxf>
    <dxf>
      <font>
        <color rgb="FF006100"/>
      </font>
      <fill>
        <patternFill>
          <bgColor rgb="FFC6EF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6100"/>
      </font>
      <fill>
        <patternFill>
          <bgColor rgb="FFC6EF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6100"/>
      </font>
      <fill>
        <patternFill>
          <bgColor rgb="FFC6EF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9" tint="0.59996337778862885"/>
        </patternFill>
      </fill>
    </dxf>
    <dxf>
      <font>
        <color rgb="FF006100"/>
      </font>
      <fill>
        <patternFill>
          <bgColor rgb="FFC6EF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6100"/>
      </font>
      <fill>
        <patternFill>
          <bgColor rgb="FFC6EF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6100"/>
      </font>
      <fill>
        <patternFill>
          <bgColor rgb="FFC6EF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auto="1"/>
      </font>
      <fill>
        <patternFill>
          <bgColor theme="5" tint="0.59996337778862885"/>
        </patternFill>
      </fill>
    </dxf>
    <dxf>
      <font>
        <color rgb="FF006100"/>
      </font>
      <fill>
        <patternFill>
          <bgColor rgb="FFC6EF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6100"/>
      </font>
      <fill>
        <patternFill>
          <bgColor rgb="FFC6EF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6100"/>
      </font>
      <fill>
        <patternFill>
          <bgColor rgb="FFC6EF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9" tint="0.59996337778862885"/>
        </patternFill>
      </fill>
    </dxf>
    <dxf>
      <font>
        <color rgb="FF006100"/>
      </font>
      <fill>
        <patternFill>
          <bgColor rgb="FFC6EF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6100"/>
      </font>
      <fill>
        <patternFill>
          <bgColor rgb="FFC6EF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6100"/>
      </font>
      <fill>
        <patternFill>
          <bgColor rgb="FFC6EF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auto="1"/>
      </font>
      <fill>
        <patternFill>
          <bgColor theme="5" tint="0.59996337778862885"/>
        </patternFill>
      </fill>
    </dxf>
    <dxf>
      <font>
        <color rgb="FF006100"/>
      </font>
      <fill>
        <patternFill>
          <bgColor rgb="FFC6EF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6100"/>
      </font>
      <fill>
        <patternFill>
          <bgColor rgb="FFC6EF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6100"/>
      </font>
      <fill>
        <patternFill>
          <bgColor rgb="FFC6EF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9" tint="0.59996337778862885"/>
        </patternFill>
      </fill>
    </dxf>
    <dxf>
      <font>
        <color rgb="FF006100"/>
      </font>
      <fill>
        <patternFill>
          <bgColor rgb="FFC6EF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6100"/>
      </font>
      <fill>
        <patternFill>
          <bgColor rgb="FFC6EF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auto="1"/>
      </font>
      <fill>
        <patternFill>
          <bgColor theme="5" tint="0.59996337778862885"/>
        </patternFill>
      </fill>
    </dxf>
    <dxf>
      <font>
        <color rgb="FF006100"/>
      </font>
      <fill>
        <patternFill>
          <bgColor rgb="FFC6EF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6100"/>
      </font>
      <fill>
        <patternFill>
          <bgColor rgb="FFC6EF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auto="1"/>
      </font>
      <fill>
        <patternFill>
          <bgColor theme="5" tint="0.59996337778862885"/>
        </patternFill>
      </fill>
    </dxf>
    <dxf>
      <font>
        <b/>
        <i val="0"/>
        <color auto="1"/>
      </font>
      <fill>
        <patternFill>
          <bgColor theme="5" tint="0.59996337778862885"/>
        </patternFill>
      </fill>
    </dxf>
    <dxf>
      <font>
        <color rgb="FF006100"/>
      </font>
      <fill>
        <patternFill>
          <bgColor rgb="FFC6EF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rgb="FF006100"/>
      </font>
      <fill>
        <patternFill>
          <bgColor rgb="FFC6EF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6100"/>
      </font>
      <fill>
        <patternFill>
          <bgColor rgb="FFC6EF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6100"/>
      </font>
      <fill>
        <patternFill>
          <bgColor rgb="FFC6EF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auto="1"/>
      </font>
      <fill>
        <patternFill>
          <bgColor theme="5" tint="0.59996337778862885"/>
        </patternFill>
      </fill>
    </dxf>
    <dxf>
      <font>
        <color rgb="FF006100"/>
      </font>
      <fill>
        <patternFill>
          <bgColor rgb="FFC6EF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6100"/>
      </font>
      <fill>
        <patternFill>
          <bgColor rgb="FFC6EF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6100"/>
      </font>
      <fill>
        <patternFill>
          <bgColor rgb="FFC6EF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auto="1"/>
      </font>
      <fill>
        <patternFill>
          <bgColor theme="5" tint="0.59996337778862885"/>
        </patternFill>
      </fill>
    </dxf>
    <dxf>
      <font>
        <b/>
        <i val="0"/>
        <color auto="1"/>
      </font>
      <fill>
        <patternFill>
          <bgColor theme="5" tint="0.59996337778862885"/>
        </patternFill>
      </fill>
    </dxf>
    <dxf>
      <font>
        <b/>
        <i val="0"/>
        <color auto="1"/>
      </font>
      <fill>
        <patternFill>
          <bgColor theme="5" tint="0.59996337778862885"/>
        </patternFill>
      </fill>
    </dxf>
    <dxf>
      <font>
        <b/>
        <i val="0"/>
        <color auto="1"/>
      </font>
      <fill>
        <patternFill>
          <bgColor theme="5" tint="0.59996337778862885"/>
        </patternFill>
      </fill>
    </dxf>
    <dxf>
      <font>
        <b/>
        <i val="0"/>
        <color auto="1"/>
      </font>
      <fill>
        <patternFill>
          <bgColor theme="5" tint="0.59996337778862885"/>
        </patternFill>
      </fill>
    </dxf>
    <dxf>
      <font>
        <b/>
        <i val="0"/>
        <color auto="1"/>
      </font>
      <fill>
        <patternFill>
          <bgColor theme="5" tint="0.59996337778862885"/>
        </patternFill>
      </fill>
    </dxf>
    <dxf>
      <font>
        <b/>
        <i val="0"/>
        <color auto="1"/>
      </font>
      <fill>
        <patternFill>
          <bgColor theme="5" tint="0.59996337778862885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auto="1"/>
      </font>
      <fill>
        <patternFill>
          <bgColor theme="5" tint="0.59996337778862885"/>
        </patternFill>
      </fill>
    </dxf>
    <dxf>
      <font>
        <color rgb="FF006100"/>
      </font>
      <fill>
        <patternFill>
          <bgColor rgb="FFC6EF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6100"/>
      </font>
      <fill>
        <patternFill>
          <bgColor rgb="FFC6EF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6100"/>
      </font>
      <fill>
        <patternFill>
          <bgColor rgb="FFC6EF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auto="1"/>
      </font>
      <fill>
        <patternFill>
          <bgColor theme="5" tint="0.59996337778862885"/>
        </patternFill>
      </fill>
    </dxf>
    <dxf>
      <font>
        <color rgb="FF006100"/>
      </font>
      <fill>
        <patternFill>
          <bgColor rgb="FFC6EF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6100"/>
      </font>
      <fill>
        <patternFill>
          <bgColor rgb="FFC6EF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6100"/>
      </font>
      <fill>
        <patternFill>
          <bgColor rgb="FFC6EF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auto="1"/>
      </font>
      <fill>
        <patternFill>
          <bgColor theme="5" tint="0.59996337778862885"/>
        </patternFill>
      </fill>
    </dxf>
    <dxf>
      <font>
        <color rgb="FF006100"/>
      </font>
      <fill>
        <patternFill>
          <bgColor rgb="FFC6EF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6100"/>
      </font>
      <fill>
        <patternFill>
          <bgColor rgb="FFC6EF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6100"/>
      </font>
      <fill>
        <patternFill>
          <bgColor rgb="FFC6EF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auto="1"/>
      </font>
      <fill>
        <patternFill>
          <bgColor theme="5" tint="0.59996337778862885"/>
        </patternFill>
      </fill>
    </dxf>
    <dxf>
      <font>
        <color rgb="FF006100"/>
      </font>
      <fill>
        <patternFill>
          <bgColor rgb="FFC6EF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6100"/>
      </font>
      <fill>
        <patternFill>
          <bgColor rgb="FFC6EF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6100"/>
      </font>
      <fill>
        <patternFill>
          <bgColor rgb="FFC6EF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auto="1"/>
      </font>
      <fill>
        <patternFill>
          <bgColor theme="5" tint="0.59996337778862885"/>
        </patternFill>
      </fill>
    </dxf>
    <dxf>
      <font>
        <color rgb="FF006100"/>
      </font>
      <fill>
        <patternFill>
          <bgColor rgb="FFC6EF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6100"/>
      </font>
      <fill>
        <patternFill>
          <bgColor rgb="FFC6EF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6100"/>
      </font>
      <fill>
        <patternFill>
          <bgColor rgb="FFC6EF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auto="1"/>
      </font>
      <fill>
        <patternFill>
          <bgColor theme="5" tint="0.59996337778862885"/>
        </patternFill>
      </fill>
    </dxf>
    <dxf>
      <font>
        <color rgb="FF006100"/>
      </font>
      <fill>
        <patternFill>
          <bgColor rgb="FFC6EF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6100"/>
      </font>
      <fill>
        <patternFill>
          <bgColor rgb="FFC6EF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6100"/>
      </font>
      <fill>
        <patternFill>
          <bgColor rgb="FFC6EF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auto="1"/>
      </font>
      <fill>
        <patternFill>
          <bgColor theme="5" tint="0.59996337778862885"/>
        </patternFill>
      </fill>
    </dxf>
    <dxf>
      <font>
        <color rgb="FF006100"/>
      </font>
      <fill>
        <patternFill>
          <bgColor rgb="FFC6EF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6100"/>
      </font>
      <fill>
        <patternFill>
          <bgColor rgb="FFC6EF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6100"/>
      </font>
      <fill>
        <patternFill>
          <bgColor rgb="FFC6EF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colors>
    <mruColors>
      <color rgb="FF009644"/>
      <color rgb="FF6CA62C"/>
      <color rgb="FFEAE6E3"/>
      <color rgb="FFFFF4E1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jpeg"/><Relationship Id="rId7" Type="http://schemas.openxmlformats.org/officeDocument/2006/relationships/image" Target="../media/image15.jpeg"/><Relationship Id="rId2" Type="http://schemas.openxmlformats.org/officeDocument/2006/relationships/image" Target="../media/image10.jpeg"/><Relationship Id="rId1" Type="http://schemas.openxmlformats.org/officeDocument/2006/relationships/image" Target="../media/image1.png"/><Relationship Id="rId6" Type="http://schemas.openxmlformats.org/officeDocument/2006/relationships/image" Target="../media/image14.jpeg"/><Relationship Id="rId5" Type="http://schemas.openxmlformats.org/officeDocument/2006/relationships/image" Target="../media/image13.jpeg"/><Relationship Id="rId4" Type="http://schemas.openxmlformats.org/officeDocument/2006/relationships/image" Target="../media/image12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9.png"/><Relationship Id="rId1" Type="http://schemas.openxmlformats.org/officeDocument/2006/relationships/image" Target="../media/image8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9.png"/><Relationship Id="rId1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0</xdr:colOff>
      <xdr:row>9</xdr:row>
      <xdr:rowOff>0</xdr:rowOff>
    </xdr:from>
    <xdr:to>
      <xdr:col>38</xdr:col>
      <xdr:colOff>304800</xdr:colOff>
      <xdr:row>11</xdr:row>
      <xdr:rowOff>38100</xdr:rowOff>
    </xdr:to>
    <xdr:sp macro="" textlink="">
      <xdr:nvSpPr>
        <xdr:cNvPr id="3133" name="AutoShape 61" descr="https://www.jfd.cz/wp-content/uploads/2019/12/logo-jfd.svg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>
          <a:spLocks noChangeAspect="1" noChangeArrowheads="1"/>
        </xdr:cNvSpPr>
      </xdr:nvSpPr>
      <xdr:spPr bwMode="auto">
        <a:xfrm>
          <a:off x="10012680" y="18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12</xdr:col>
      <xdr:colOff>22860</xdr:colOff>
      <xdr:row>4</xdr:row>
      <xdr:rowOff>156207</xdr:rowOff>
    </xdr:from>
    <xdr:to>
      <xdr:col>14</xdr:col>
      <xdr:colOff>212460</xdr:colOff>
      <xdr:row>11</xdr:row>
      <xdr:rowOff>64396</xdr:rowOff>
    </xdr:to>
    <xdr:pic>
      <xdr:nvPicPr>
        <xdr:cNvPr id="7" name="Obrázek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04610" y="1051557"/>
          <a:ext cx="1913625" cy="946414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twoCellAnchor editAs="absolute">
    <xdr:from>
      <xdr:col>12</xdr:col>
      <xdr:colOff>137767</xdr:colOff>
      <xdr:row>14</xdr:row>
      <xdr:rowOff>219105</xdr:rowOff>
    </xdr:from>
    <xdr:to>
      <xdr:col>15</xdr:col>
      <xdr:colOff>19050</xdr:colOff>
      <xdr:row>20</xdr:row>
      <xdr:rowOff>162981</xdr:rowOff>
    </xdr:to>
    <xdr:grpSp>
      <xdr:nvGrpSpPr>
        <xdr:cNvPr id="18" name="Skupina 17">
          <a:extLst>
            <a:ext uri="{FF2B5EF4-FFF2-40B4-BE49-F238E27FC236}">
              <a16:creationId xmlns:a16="http://schemas.microsoft.com/office/drawing/2014/main" id="{47765FB6-874C-431C-9971-94D428453D49}"/>
            </a:ext>
          </a:extLst>
        </xdr:cNvPr>
        <xdr:cNvGrpSpPr/>
      </xdr:nvGrpSpPr>
      <xdr:grpSpPr>
        <a:xfrm>
          <a:off x="6519517" y="2790855"/>
          <a:ext cx="2424458" cy="1525026"/>
          <a:chOff x="6901249" y="2710259"/>
          <a:chExt cx="2616425" cy="1522828"/>
        </a:xfrm>
      </xdr:grpSpPr>
      <xdr:pic>
        <xdr:nvPicPr>
          <xdr:cNvPr id="3" name="Obrázek 2">
            <a:extLst>
              <a:ext uri="{FF2B5EF4-FFF2-40B4-BE49-F238E27FC236}">
                <a16:creationId xmlns:a16="http://schemas.microsoft.com/office/drawing/2014/main" id="{B6648EA7-9D15-44FF-AA53-7A9DAA3E917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901249" y="2710259"/>
            <a:ext cx="901944" cy="1519897"/>
          </a:xfrm>
          <a:prstGeom prst="rect">
            <a:avLst/>
          </a:prstGeom>
        </xdr:spPr>
      </xdr:pic>
      <xdr:pic>
        <xdr:nvPicPr>
          <xdr:cNvPr id="5" name="Obrázek 4">
            <a:extLst>
              <a:ext uri="{FF2B5EF4-FFF2-40B4-BE49-F238E27FC236}">
                <a16:creationId xmlns:a16="http://schemas.microsoft.com/office/drawing/2014/main" id="{9A277894-A21C-4DE7-A1AC-DBB7EF7CB09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807569" y="2710971"/>
            <a:ext cx="853440" cy="1513743"/>
          </a:xfrm>
          <a:prstGeom prst="rect">
            <a:avLst/>
          </a:prstGeom>
        </xdr:spPr>
      </xdr:pic>
      <xdr:pic>
        <xdr:nvPicPr>
          <xdr:cNvPr id="10" name="Obrázek 9">
            <a:extLst>
              <a:ext uri="{FF2B5EF4-FFF2-40B4-BE49-F238E27FC236}">
                <a16:creationId xmlns:a16="http://schemas.microsoft.com/office/drawing/2014/main" id="{A9D65E44-DC05-485F-8F62-990751C6649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660424" y="2710992"/>
            <a:ext cx="857250" cy="1522095"/>
          </a:xfrm>
          <a:prstGeom prst="rect">
            <a:avLst/>
          </a:prstGeom>
        </xdr:spPr>
      </xdr:pic>
    </xdr:grpSp>
    <xdr:clientData/>
  </xdr:twoCellAnchor>
  <xdr:twoCellAnchor editAs="absolute">
    <xdr:from>
      <xdr:col>12</xdr:col>
      <xdr:colOff>175115</xdr:colOff>
      <xdr:row>25</xdr:row>
      <xdr:rowOff>11753</xdr:rowOff>
    </xdr:from>
    <xdr:to>
      <xdr:col>15</xdr:col>
      <xdr:colOff>19050</xdr:colOff>
      <xdr:row>31</xdr:row>
      <xdr:rowOff>7180</xdr:rowOff>
    </xdr:to>
    <xdr:grpSp>
      <xdr:nvGrpSpPr>
        <xdr:cNvPr id="19" name="Skupina 18">
          <a:extLst>
            <a:ext uri="{FF2B5EF4-FFF2-40B4-BE49-F238E27FC236}">
              <a16:creationId xmlns:a16="http://schemas.microsoft.com/office/drawing/2014/main" id="{AB07E68C-1F16-4B1B-B1E3-6B6887EFDAA3}"/>
            </a:ext>
          </a:extLst>
        </xdr:cNvPr>
        <xdr:cNvGrpSpPr/>
      </xdr:nvGrpSpPr>
      <xdr:grpSpPr>
        <a:xfrm>
          <a:off x="6556865" y="5221928"/>
          <a:ext cx="2387110" cy="1528952"/>
          <a:chOff x="6953251" y="5004318"/>
          <a:chExt cx="2571769" cy="1527487"/>
        </a:xfrm>
      </xdr:grpSpPr>
      <xdr:pic>
        <xdr:nvPicPr>
          <xdr:cNvPr id="14" name="Obrázek 13">
            <a:extLst>
              <a:ext uri="{FF2B5EF4-FFF2-40B4-BE49-F238E27FC236}">
                <a16:creationId xmlns:a16="http://schemas.microsoft.com/office/drawing/2014/main" id="{F078DC4D-6B9E-4B3B-85FC-256F9A3ABF3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953251" y="5011615"/>
            <a:ext cx="855345" cy="1520190"/>
          </a:xfrm>
          <a:prstGeom prst="rect">
            <a:avLst/>
          </a:prstGeom>
        </xdr:spPr>
      </xdr:pic>
      <xdr:pic>
        <xdr:nvPicPr>
          <xdr:cNvPr id="15" name="Obrázek 14">
            <a:extLst>
              <a:ext uri="{FF2B5EF4-FFF2-40B4-BE49-F238E27FC236}">
                <a16:creationId xmlns:a16="http://schemas.microsoft.com/office/drawing/2014/main" id="{FE2D0250-3C07-42A9-ACC6-1DF1BC0435B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810520" y="5004318"/>
            <a:ext cx="857250" cy="1522095"/>
          </a:xfrm>
          <a:prstGeom prst="rect">
            <a:avLst/>
          </a:prstGeom>
        </xdr:spPr>
      </xdr:pic>
      <xdr:pic>
        <xdr:nvPicPr>
          <xdr:cNvPr id="17" name="Obrázek 16">
            <a:extLst>
              <a:ext uri="{FF2B5EF4-FFF2-40B4-BE49-F238E27FC236}">
                <a16:creationId xmlns:a16="http://schemas.microsoft.com/office/drawing/2014/main" id="{86142080-C53A-474A-8CD8-E6EE63C93FB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667770" y="5004318"/>
            <a:ext cx="857250" cy="1522095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70485</xdr:colOff>
      <xdr:row>5</xdr:row>
      <xdr:rowOff>24762</xdr:rowOff>
    </xdr:from>
    <xdr:to>
      <xdr:col>15</xdr:col>
      <xdr:colOff>12288</xdr:colOff>
      <xdr:row>11</xdr:row>
      <xdr:rowOff>169171</xdr:rowOff>
    </xdr:to>
    <xdr:pic>
      <xdr:nvPicPr>
        <xdr:cNvPr id="9" name="Obrázek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33235" y="1186812"/>
          <a:ext cx="2084928" cy="925459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twoCellAnchor editAs="absolute">
    <xdr:from>
      <xdr:col>13</xdr:col>
      <xdr:colOff>9525</xdr:colOff>
      <xdr:row>14</xdr:row>
      <xdr:rowOff>238125</xdr:rowOff>
    </xdr:from>
    <xdr:to>
      <xdr:col>16</xdr:col>
      <xdr:colOff>25624</xdr:colOff>
      <xdr:row>21</xdr:row>
      <xdr:rowOff>17878</xdr:rowOff>
    </xdr:to>
    <xdr:grpSp>
      <xdr:nvGrpSpPr>
        <xdr:cNvPr id="5" name="Skupina 4">
          <a:extLst>
            <a:ext uri="{FF2B5EF4-FFF2-40B4-BE49-F238E27FC236}">
              <a16:creationId xmlns:a16="http://schemas.microsoft.com/office/drawing/2014/main" id="{6EF1EC1D-DBB0-4A9C-8BD9-734061AA6EB1}"/>
            </a:ext>
          </a:extLst>
        </xdr:cNvPr>
        <xdr:cNvGrpSpPr/>
      </xdr:nvGrpSpPr>
      <xdr:grpSpPr>
        <a:xfrm>
          <a:off x="6848475" y="2838450"/>
          <a:ext cx="2616424" cy="1522828"/>
          <a:chOff x="6901249" y="2710259"/>
          <a:chExt cx="2616425" cy="1522828"/>
        </a:xfrm>
      </xdr:grpSpPr>
      <xdr:pic>
        <xdr:nvPicPr>
          <xdr:cNvPr id="6" name="Obrázek 5">
            <a:extLst>
              <a:ext uri="{FF2B5EF4-FFF2-40B4-BE49-F238E27FC236}">
                <a16:creationId xmlns:a16="http://schemas.microsoft.com/office/drawing/2014/main" id="{05493C66-538B-4796-8903-4C0424F38AF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901249" y="2710259"/>
            <a:ext cx="901944" cy="1519897"/>
          </a:xfrm>
          <a:prstGeom prst="rect">
            <a:avLst/>
          </a:prstGeom>
        </xdr:spPr>
      </xdr:pic>
      <xdr:pic>
        <xdr:nvPicPr>
          <xdr:cNvPr id="7" name="Obrázek 6">
            <a:extLst>
              <a:ext uri="{FF2B5EF4-FFF2-40B4-BE49-F238E27FC236}">
                <a16:creationId xmlns:a16="http://schemas.microsoft.com/office/drawing/2014/main" id="{BCFF1D6D-6D12-4FDF-A7AA-87A091D6509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807569" y="2710971"/>
            <a:ext cx="853440" cy="1513743"/>
          </a:xfrm>
          <a:prstGeom prst="rect">
            <a:avLst/>
          </a:prstGeom>
        </xdr:spPr>
      </xdr:pic>
      <xdr:pic>
        <xdr:nvPicPr>
          <xdr:cNvPr id="8" name="Obrázek 7">
            <a:extLst>
              <a:ext uri="{FF2B5EF4-FFF2-40B4-BE49-F238E27FC236}">
                <a16:creationId xmlns:a16="http://schemas.microsoft.com/office/drawing/2014/main" id="{5F283D16-5567-4377-A6DC-5A5319A7303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660424" y="2710992"/>
            <a:ext cx="857250" cy="1522095"/>
          </a:xfrm>
          <a:prstGeom prst="rect">
            <a:avLst/>
          </a:prstGeom>
        </xdr:spPr>
      </xdr:pic>
    </xdr:grpSp>
    <xdr:clientData/>
  </xdr:twoCellAnchor>
  <xdr:twoCellAnchor editAs="absolute">
    <xdr:from>
      <xdr:col>13</xdr:col>
      <xdr:colOff>95250</xdr:colOff>
      <xdr:row>25</xdr:row>
      <xdr:rowOff>57150</xdr:rowOff>
    </xdr:from>
    <xdr:to>
      <xdr:col>16</xdr:col>
      <xdr:colOff>28574</xdr:colOff>
      <xdr:row>31</xdr:row>
      <xdr:rowOff>32062</xdr:rowOff>
    </xdr:to>
    <xdr:grpSp>
      <xdr:nvGrpSpPr>
        <xdr:cNvPr id="12" name="Skupina 11">
          <a:extLst>
            <a:ext uri="{FF2B5EF4-FFF2-40B4-BE49-F238E27FC236}">
              <a16:creationId xmlns:a16="http://schemas.microsoft.com/office/drawing/2014/main" id="{329F2227-5DC7-4132-822D-35E95C716E44}"/>
            </a:ext>
          </a:extLst>
        </xdr:cNvPr>
        <xdr:cNvGrpSpPr/>
      </xdr:nvGrpSpPr>
      <xdr:grpSpPr>
        <a:xfrm>
          <a:off x="6934200" y="5257800"/>
          <a:ext cx="2533649" cy="1527487"/>
          <a:chOff x="6953251" y="5004318"/>
          <a:chExt cx="2571769" cy="1527487"/>
        </a:xfrm>
      </xdr:grpSpPr>
      <xdr:pic>
        <xdr:nvPicPr>
          <xdr:cNvPr id="13" name="Obrázek 12">
            <a:extLst>
              <a:ext uri="{FF2B5EF4-FFF2-40B4-BE49-F238E27FC236}">
                <a16:creationId xmlns:a16="http://schemas.microsoft.com/office/drawing/2014/main" id="{924FEC70-7A72-430F-A2C7-9CBF2BB62DD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953251" y="5011615"/>
            <a:ext cx="855345" cy="1520190"/>
          </a:xfrm>
          <a:prstGeom prst="rect">
            <a:avLst/>
          </a:prstGeom>
        </xdr:spPr>
      </xdr:pic>
      <xdr:pic>
        <xdr:nvPicPr>
          <xdr:cNvPr id="14" name="Obrázek 13">
            <a:extLst>
              <a:ext uri="{FF2B5EF4-FFF2-40B4-BE49-F238E27FC236}">
                <a16:creationId xmlns:a16="http://schemas.microsoft.com/office/drawing/2014/main" id="{C03ADFD3-7E48-485D-8544-DECFA141C8B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810520" y="5004318"/>
            <a:ext cx="857250" cy="1522095"/>
          </a:xfrm>
          <a:prstGeom prst="rect">
            <a:avLst/>
          </a:prstGeom>
        </xdr:spPr>
      </xdr:pic>
      <xdr:pic>
        <xdr:nvPicPr>
          <xdr:cNvPr id="15" name="Obrázek 14">
            <a:extLst>
              <a:ext uri="{FF2B5EF4-FFF2-40B4-BE49-F238E27FC236}">
                <a16:creationId xmlns:a16="http://schemas.microsoft.com/office/drawing/2014/main" id="{90FEF93D-F46C-456E-B53D-FB86A92EA5D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667770" y="5004318"/>
            <a:ext cx="857250" cy="1522095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jahnicka@jfd.cz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2.v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ajahnicka@jfd.cz" TargetMode="External"/><Relationship Id="rId6" Type="http://schemas.openxmlformats.org/officeDocument/2006/relationships/comments" Target="../comments2.xml"/><Relationship Id="rId5" Type="http://schemas.openxmlformats.org/officeDocument/2006/relationships/vmlDrawing" Target="../drawings/vmlDrawing4.vml"/><Relationship Id="rId4" Type="http://schemas.openxmlformats.org/officeDocument/2006/relationships/vmlDrawing" Target="../drawings/vmlDrawing3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59999389629810485"/>
    <pageSetUpPr fitToPage="1"/>
  </sheetPr>
  <dimension ref="A1:AM91"/>
  <sheetViews>
    <sheetView showGridLines="0" tabSelected="1" workbookViewId="0">
      <selection activeCell="J1" sqref="J1:K1"/>
    </sheetView>
  </sheetViews>
  <sheetFormatPr defaultRowHeight="15" x14ac:dyDescent="0.25"/>
  <cols>
    <col min="1" max="1" width="4.140625" customWidth="1"/>
    <col min="2" max="2" width="3.85546875" customWidth="1"/>
    <col min="3" max="3" width="11.28515625" style="26" bestFit="1" customWidth="1"/>
    <col min="4" max="4" width="7.28515625" style="19" customWidth="1"/>
    <col min="5" max="5" width="15.42578125" style="26" customWidth="1"/>
    <col min="6" max="6" width="11.140625" style="26" customWidth="1"/>
    <col min="7" max="7" width="5.140625" style="19" bestFit="1" customWidth="1"/>
    <col min="8" max="8" width="5.7109375" style="19" bestFit="1" customWidth="1"/>
    <col min="9" max="9" width="7.5703125" style="26" bestFit="1" customWidth="1"/>
    <col min="10" max="10" width="10.140625" style="19" bestFit="1" customWidth="1"/>
    <col min="11" max="11" width="11.28515625" style="14" customWidth="1"/>
    <col min="12" max="12" width="2.7109375" style="156" customWidth="1"/>
    <col min="13" max="13" width="14" style="156" customWidth="1"/>
    <col min="14" max="14" width="11.85546875" style="156" customWidth="1"/>
    <col min="15" max="15" width="12.28515625" style="156" customWidth="1"/>
    <col min="16" max="16" width="3.85546875" style="156" customWidth="1"/>
    <col min="17" max="17" width="5.28515625" style="198" hidden="1" customWidth="1"/>
    <col min="18" max="18" width="15.42578125" style="32" hidden="1" customWidth="1"/>
    <col min="19" max="20" width="9" style="32" hidden="1" customWidth="1"/>
    <col min="21" max="21" width="9.140625" style="32" hidden="1" customWidth="1"/>
    <col min="22" max="22" width="14.42578125" style="32" hidden="1" customWidth="1"/>
    <col min="23" max="25" width="9.140625" style="32" hidden="1" customWidth="1"/>
    <col min="26" max="26" width="22.85546875" style="32" hidden="1" customWidth="1"/>
    <col min="27" max="27" width="15.5703125" style="199" hidden="1" customWidth="1"/>
    <col min="28" max="37" width="9.140625" style="32" hidden="1" customWidth="1"/>
    <col min="38" max="38" width="8.85546875" style="32" hidden="1" customWidth="1"/>
  </cols>
  <sheetData>
    <row r="1" spans="1:38" ht="16.899999999999999" customHeight="1" x14ac:dyDescent="0.25">
      <c r="A1" s="94" t="s">
        <v>192</v>
      </c>
      <c r="B1" s="95"/>
      <c r="C1" s="96"/>
      <c r="D1" s="97"/>
      <c r="E1" s="102" t="s">
        <v>200</v>
      </c>
      <c r="F1" s="103"/>
      <c r="G1" s="244" t="s">
        <v>194</v>
      </c>
      <c r="H1" s="111"/>
      <c r="I1" s="112"/>
      <c r="J1" s="334"/>
      <c r="K1" s="335"/>
      <c r="L1" s="151"/>
      <c r="M1" s="151"/>
      <c r="N1" s="151"/>
      <c r="O1" s="151"/>
      <c r="P1" s="151"/>
    </row>
    <row r="2" spans="1:38" s="14" customFormat="1" ht="18" customHeight="1" x14ac:dyDescent="0.25">
      <c r="A2" s="323"/>
      <c r="B2" s="324"/>
      <c r="C2" s="324"/>
      <c r="D2" s="325"/>
      <c r="E2" s="326"/>
      <c r="F2" s="327"/>
      <c r="G2" s="114" t="s">
        <v>195</v>
      </c>
      <c r="H2" s="105"/>
      <c r="I2" s="328"/>
      <c r="J2" s="328"/>
      <c r="K2" s="329"/>
      <c r="L2" s="152"/>
      <c r="M2" s="241" t="s">
        <v>214</v>
      </c>
      <c r="N2" s="153"/>
      <c r="O2" s="154"/>
      <c r="P2" s="154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200"/>
      <c r="AB2" s="198"/>
      <c r="AC2" s="198"/>
      <c r="AD2" s="198"/>
      <c r="AE2" s="198"/>
      <c r="AF2" s="198"/>
      <c r="AG2" s="198"/>
      <c r="AH2" s="198"/>
      <c r="AI2" s="198"/>
      <c r="AJ2" s="198"/>
      <c r="AK2" s="198"/>
      <c r="AL2" s="198"/>
    </row>
    <row r="3" spans="1:38" s="14" customFormat="1" ht="18" customHeight="1" x14ac:dyDescent="0.2">
      <c r="A3" s="323"/>
      <c r="B3" s="324"/>
      <c r="C3" s="324"/>
      <c r="D3" s="325"/>
      <c r="E3" s="326"/>
      <c r="F3" s="327"/>
      <c r="G3" s="114" t="s">
        <v>196</v>
      </c>
      <c r="H3" s="105"/>
      <c r="I3" s="328"/>
      <c r="J3" s="328"/>
      <c r="K3" s="329"/>
      <c r="L3" s="152"/>
      <c r="M3" s="242" t="s">
        <v>215</v>
      </c>
      <c r="N3" s="153"/>
      <c r="O3" s="154"/>
      <c r="P3" s="154"/>
      <c r="Q3" s="198"/>
      <c r="R3" s="198"/>
      <c r="S3" s="198"/>
      <c r="T3" s="198"/>
      <c r="U3" s="198"/>
      <c r="V3" s="198"/>
      <c r="W3" s="198"/>
      <c r="X3" s="198"/>
      <c r="Y3" s="198"/>
      <c r="Z3" s="198"/>
      <c r="AA3" s="200"/>
      <c r="AB3" s="198"/>
      <c r="AC3" s="198"/>
      <c r="AD3" s="198"/>
      <c r="AE3" s="198"/>
      <c r="AF3" s="198"/>
      <c r="AG3" s="198"/>
      <c r="AH3" s="198"/>
      <c r="AI3" s="198"/>
      <c r="AJ3" s="198"/>
      <c r="AK3" s="198"/>
      <c r="AL3" s="198"/>
    </row>
    <row r="4" spans="1:38" s="14" customFormat="1" ht="18" customHeight="1" x14ac:dyDescent="0.2">
      <c r="A4" s="323"/>
      <c r="B4" s="324"/>
      <c r="C4" s="324"/>
      <c r="D4" s="325"/>
      <c r="E4" s="326"/>
      <c r="F4" s="327"/>
      <c r="G4" s="114" t="s">
        <v>198</v>
      </c>
      <c r="H4" s="105"/>
      <c r="I4" s="328"/>
      <c r="J4" s="328"/>
      <c r="K4" s="329"/>
      <c r="L4" s="152"/>
      <c r="M4" s="243" t="s">
        <v>216</v>
      </c>
      <c r="N4" s="153"/>
      <c r="O4" s="154"/>
      <c r="P4" s="154"/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200"/>
      <c r="AB4" s="198"/>
      <c r="AC4" s="198"/>
      <c r="AD4" s="198"/>
      <c r="AE4" s="198"/>
      <c r="AF4" s="198"/>
      <c r="AG4" s="198"/>
      <c r="AH4" s="198"/>
      <c r="AI4" s="198"/>
      <c r="AJ4" s="198"/>
      <c r="AK4" s="198"/>
      <c r="AL4" s="198"/>
    </row>
    <row r="5" spans="1:38" s="14" customFormat="1" ht="18" customHeight="1" thickBot="1" x14ac:dyDescent="0.25">
      <c r="A5" s="99" t="s">
        <v>193</v>
      </c>
      <c r="B5" s="100"/>
      <c r="C5" s="330"/>
      <c r="D5" s="331"/>
      <c r="E5" s="332"/>
      <c r="F5" s="333"/>
      <c r="G5" s="115" t="s">
        <v>197</v>
      </c>
      <c r="H5" s="104"/>
      <c r="I5" s="330"/>
      <c r="J5" s="330"/>
      <c r="K5" s="331"/>
      <c r="L5" s="152"/>
      <c r="M5" s="155"/>
      <c r="N5" s="154"/>
      <c r="O5" s="154"/>
      <c r="P5" s="154"/>
      <c r="Q5" s="198"/>
      <c r="R5" s="198"/>
      <c r="S5" s="198"/>
      <c r="T5" s="198"/>
      <c r="U5" s="198"/>
      <c r="V5" s="198"/>
      <c r="W5" s="198"/>
      <c r="X5" s="198"/>
      <c r="Y5" s="198"/>
      <c r="Z5" s="198"/>
      <c r="AA5" s="200"/>
      <c r="AB5" s="198"/>
      <c r="AC5" s="198"/>
      <c r="AD5" s="198"/>
      <c r="AE5" s="198"/>
      <c r="AF5" s="198"/>
      <c r="AG5" s="198"/>
      <c r="AH5" s="198"/>
      <c r="AI5" s="198"/>
      <c r="AJ5" s="198"/>
      <c r="AK5" s="198"/>
      <c r="AL5" s="198"/>
    </row>
    <row r="6" spans="1:38" s="14" customFormat="1" ht="4.9000000000000004" customHeight="1" x14ac:dyDescent="0.2">
      <c r="C6" s="26"/>
      <c r="D6" s="19"/>
      <c r="E6" s="19"/>
      <c r="F6" s="19"/>
      <c r="G6" s="26"/>
      <c r="H6" s="19"/>
      <c r="L6" s="156"/>
      <c r="M6" s="155"/>
      <c r="N6" s="154"/>
      <c r="O6" s="154"/>
      <c r="P6" s="154"/>
      <c r="Q6" s="198"/>
      <c r="R6" s="198"/>
      <c r="S6" s="198"/>
      <c r="T6" s="198"/>
      <c r="U6" s="198"/>
      <c r="V6" s="198"/>
      <c r="W6" s="198"/>
      <c r="X6" s="198"/>
      <c r="Y6" s="200"/>
      <c r="Z6" s="198"/>
      <c r="AA6" s="198"/>
      <c r="AB6" s="198"/>
      <c r="AC6" s="198"/>
      <c r="AD6" s="198"/>
      <c r="AE6" s="198"/>
      <c r="AF6" s="198"/>
      <c r="AG6" s="198"/>
      <c r="AH6" s="198"/>
      <c r="AI6" s="198"/>
      <c r="AJ6" s="198"/>
      <c r="AK6" s="198"/>
      <c r="AL6" s="198"/>
    </row>
    <row r="7" spans="1:38" s="121" customFormat="1" ht="12.75" x14ac:dyDescent="0.2">
      <c r="A7" s="336" t="s">
        <v>199</v>
      </c>
      <c r="B7" s="122" t="s">
        <v>141</v>
      </c>
      <c r="C7" s="123" t="s">
        <v>142</v>
      </c>
      <c r="D7" s="124"/>
      <c r="E7" s="124"/>
      <c r="F7" s="124"/>
      <c r="G7" s="125"/>
      <c r="H7" s="124"/>
      <c r="L7" s="157"/>
      <c r="M7" s="157"/>
      <c r="N7" s="157"/>
      <c r="O7" s="157"/>
      <c r="P7" s="157"/>
      <c r="Q7" s="201"/>
      <c r="R7" s="201"/>
      <c r="S7" s="201"/>
      <c r="T7" s="201"/>
      <c r="U7" s="201"/>
      <c r="V7" s="201"/>
      <c r="W7" s="201"/>
      <c r="X7" s="201"/>
      <c r="Y7" s="202"/>
      <c r="Z7" s="201"/>
      <c r="AA7" s="201"/>
      <c r="AB7" s="201"/>
      <c r="AC7" s="201"/>
      <c r="AD7" s="201"/>
      <c r="AE7" s="201"/>
      <c r="AF7" s="201"/>
      <c r="AG7" s="201"/>
      <c r="AH7" s="201"/>
      <c r="AI7" s="201"/>
      <c r="AJ7" s="201"/>
      <c r="AK7" s="201"/>
      <c r="AL7" s="201"/>
    </row>
    <row r="8" spans="1:38" s="121" customFormat="1" ht="12.75" x14ac:dyDescent="0.2">
      <c r="A8" s="336"/>
      <c r="B8" s="122"/>
      <c r="C8" s="123" t="s">
        <v>143</v>
      </c>
      <c r="D8" s="124"/>
      <c r="E8" s="124"/>
      <c r="F8" s="124"/>
      <c r="G8" s="125"/>
      <c r="H8" s="124"/>
      <c r="L8" s="157"/>
      <c r="M8" s="157"/>
      <c r="N8" s="157"/>
      <c r="O8" s="157"/>
      <c r="P8" s="157"/>
      <c r="Q8" s="201"/>
      <c r="R8" s="201"/>
      <c r="S8" s="201"/>
      <c r="T8" s="201"/>
      <c r="U8" s="201"/>
      <c r="V8" s="201"/>
      <c r="W8" s="201"/>
      <c r="X8" s="201"/>
      <c r="Y8" s="202"/>
      <c r="Z8" s="201"/>
      <c r="AA8" s="201"/>
      <c r="AB8" s="201"/>
      <c r="AC8" s="201"/>
      <c r="AD8" s="201"/>
      <c r="AE8" s="201"/>
      <c r="AF8" s="201"/>
      <c r="AG8" s="201"/>
      <c r="AH8" s="201"/>
      <c r="AI8" s="201"/>
      <c r="AJ8" s="201"/>
      <c r="AK8" s="201"/>
      <c r="AL8" s="201"/>
    </row>
    <row r="9" spans="1:38" s="121" customFormat="1" ht="12.75" x14ac:dyDescent="0.2">
      <c r="A9" s="336"/>
      <c r="B9" s="122" t="s">
        <v>141</v>
      </c>
      <c r="C9" s="123" t="s">
        <v>140</v>
      </c>
      <c r="D9" s="124"/>
      <c r="E9" s="124"/>
      <c r="F9" s="124"/>
      <c r="G9" s="125"/>
      <c r="H9" s="124"/>
      <c r="L9" s="157"/>
      <c r="M9" s="157"/>
      <c r="N9" s="157"/>
      <c r="O9" s="157"/>
      <c r="P9" s="157"/>
      <c r="Q9" s="201"/>
      <c r="R9" s="201"/>
      <c r="S9" s="201"/>
      <c r="T9" s="201"/>
      <c r="U9" s="201"/>
      <c r="V9" s="201"/>
      <c r="W9" s="201"/>
      <c r="X9" s="201"/>
      <c r="Y9" s="202"/>
      <c r="Z9" s="201"/>
      <c r="AA9" s="201"/>
      <c r="AB9" s="201"/>
      <c r="AC9" s="201"/>
      <c r="AD9" s="201"/>
      <c r="AE9" s="201"/>
      <c r="AF9" s="201"/>
      <c r="AG9" s="201"/>
      <c r="AH9" s="201"/>
      <c r="AI9" s="201"/>
      <c r="AJ9" s="201"/>
      <c r="AK9" s="201"/>
      <c r="AL9" s="201"/>
    </row>
    <row r="10" spans="1:38" s="121" customFormat="1" x14ac:dyDescent="0.25">
      <c r="A10" s="336"/>
      <c r="C10" s="123" t="s">
        <v>144</v>
      </c>
      <c r="D10" s="127"/>
      <c r="E10" s="124"/>
      <c r="F10" s="124"/>
      <c r="G10" s="125"/>
      <c r="H10" s="124"/>
      <c r="L10" s="157"/>
      <c r="M10" s="157"/>
      <c r="N10" s="157"/>
      <c r="O10" s="157"/>
      <c r="P10" s="157"/>
      <c r="Q10" s="201"/>
      <c r="R10" s="201"/>
      <c r="S10" s="201"/>
      <c r="T10" s="203"/>
      <c r="U10" s="201"/>
      <c r="V10" s="201"/>
      <c r="W10" s="201"/>
      <c r="X10" s="201"/>
      <c r="Y10" s="202"/>
      <c r="Z10" s="201"/>
      <c r="AA10" s="201"/>
      <c r="AB10" s="201"/>
      <c r="AC10" s="201"/>
      <c r="AD10" s="201"/>
      <c r="AE10" s="201"/>
      <c r="AF10" s="201"/>
      <c r="AG10" s="201"/>
      <c r="AH10" s="201"/>
      <c r="AI10" s="201"/>
      <c r="AJ10" s="201"/>
      <c r="AK10" s="201"/>
      <c r="AL10" s="201"/>
    </row>
    <row r="11" spans="1:38" ht="6.6" customHeight="1" thickBot="1" x14ac:dyDescent="0.3">
      <c r="A11" s="39"/>
      <c r="D11" s="40"/>
      <c r="E11" s="19"/>
      <c r="F11" s="19"/>
      <c r="G11" s="26"/>
      <c r="I11" s="14"/>
      <c r="J11" s="14"/>
      <c r="K11"/>
      <c r="M11" s="155"/>
      <c r="N11" s="155"/>
      <c r="Q11" s="32"/>
      <c r="Y11" s="199"/>
      <c r="AA11" s="32"/>
    </row>
    <row r="12" spans="1:38" ht="16.149999999999999" customHeight="1" thickBot="1" x14ac:dyDescent="0.3">
      <c r="A12" s="319" t="s">
        <v>137</v>
      </c>
      <c r="B12" s="295" t="s">
        <v>134</v>
      </c>
      <c r="C12" s="60" t="s">
        <v>56</v>
      </c>
      <c r="D12" s="35" t="s">
        <v>19</v>
      </c>
      <c r="E12" s="60" t="s">
        <v>55</v>
      </c>
      <c r="F12" s="60" t="s">
        <v>23</v>
      </c>
      <c r="G12" s="35" t="s">
        <v>21</v>
      </c>
      <c r="H12" s="35" t="s">
        <v>7</v>
      </c>
      <c r="I12" s="35" t="s">
        <v>22</v>
      </c>
      <c r="J12" s="35" t="s">
        <v>10</v>
      </c>
      <c r="K12" s="61" t="s">
        <v>128</v>
      </c>
      <c r="L12" s="158"/>
      <c r="M12" s="159"/>
      <c r="N12" s="159"/>
      <c r="O12" s="160"/>
      <c r="P12" s="160"/>
      <c r="R12" s="32" t="str">
        <f>CONCATENATE(G13,"_",H13)</f>
        <v>_</v>
      </c>
      <c r="T12" s="33"/>
      <c r="W12" s="32" t="s">
        <v>58</v>
      </c>
    </row>
    <row r="13" spans="1:38" s="17" customFormat="1" ht="18.75" customHeight="1" thickBot="1" x14ac:dyDescent="0.3">
      <c r="A13" s="293"/>
      <c r="B13" s="296"/>
      <c r="C13" s="44" t="s">
        <v>227</v>
      </c>
      <c r="D13" s="43"/>
      <c r="E13" s="42"/>
      <c r="F13" s="42"/>
      <c r="G13" s="43"/>
      <c r="H13" s="43"/>
      <c r="I13" s="42"/>
      <c r="J13" s="43"/>
      <c r="K13" s="178" t="str">
        <f>IFERROR(VLOOKUP(S13,$AG$29:$AH$56,2,0),"")</f>
        <v/>
      </c>
      <c r="L13" s="158"/>
      <c r="M13" s="182"/>
      <c r="N13" s="182"/>
      <c r="O13" s="183"/>
      <c r="P13" s="183"/>
      <c r="Q13" s="204"/>
      <c r="R13" s="205" t="str">
        <f>CONCATENATE(D13,F13)</f>
        <v/>
      </c>
      <c r="S13" s="205" t="str">
        <f>CONCATENATE(D13,G13)</f>
        <v/>
      </c>
      <c r="T13" s="33"/>
      <c r="U13" s="205"/>
      <c r="V13" s="21" t="s">
        <v>19</v>
      </c>
      <c r="W13" s="22" t="s">
        <v>57</v>
      </c>
      <c r="X13" s="22" t="s">
        <v>51</v>
      </c>
      <c r="Y13" s="22" t="s">
        <v>18</v>
      </c>
      <c r="Z13" s="23" t="s">
        <v>54</v>
      </c>
      <c r="AA13" s="220" t="s">
        <v>7</v>
      </c>
      <c r="AB13" s="22" t="s">
        <v>60</v>
      </c>
      <c r="AC13" s="22" t="s">
        <v>61</v>
      </c>
      <c r="AD13" s="22" t="s">
        <v>63</v>
      </c>
      <c r="AE13" s="23" t="s">
        <v>62</v>
      </c>
      <c r="AF13" s="205"/>
      <c r="AG13" s="205"/>
      <c r="AH13" s="205"/>
      <c r="AI13" s="205"/>
      <c r="AJ13" s="205"/>
      <c r="AK13" s="205"/>
      <c r="AL13" s="205"/>
    </row>
    <row r="14" spans="1:38" ht="16.149999999999999" customHeight="1" thickBot="1" x14ac:dyDescent="0.3">
      <c r="A14" s="293"/>
      <c r="B14" s="296"/>
      <c r="C14" s="62" t="s">
        <v>89</v>
      </c>
      <c r="D14" s="41" t="s">
        <v>32</v>
      </c>
      <c r="E14" s="63" t="s">
        <v>93</v>
      </c>
      <c r="F14" s="299" t="s">
        <v>95</v>
      </c>
      <c r="G14" s="299"/>
      <c r="H14" s="300" t="s">
        <v>96</v>
      </c>
      <c r="I14" s="301"/>
      <c r="J14" s="302"/>
      <c r="K14" s="64" t="s">
        <v>130</v>
      </c>
      <c r="L14" s="158"/>
      <c r="M14" s="184" t="s">
        <v>228</v>
      </c>
      <c r="N14" s="185" t="s">
        <v>235</v>
      </c>
      <c r="O14" s="185" t="s">
        <v>235</v>
      </c>
      <c r="P14" s="185"/>
      <c r="T14" s="33"/>
      <c r="V14" s="206" t="s">
        <v>57</v>
      </c>
      <c r="W14" s="10" t="s">
        <v>16</v>
      </c>
      <c r="X14" s="10" t="s">
        <v>16</v>
      </c>
      <c r="Y14" s="10" t="s">
        <v>17</v>
      </c>
      <c r="Z14" s="207" t="s">
        <v>81</v>
      </c>
      <c r="AB14" s="208">
        <v>197</v>
      </c>
      <c r="AC14" s="208">
        <v>197</v>
      </c>
      <c r="AD14" s="208">
        <v>197</v>
      </c>
      <c r="AE14" s="32">
        <v>197</v>
      </c>
    </row>
    <row r="15" spans="1:38" ht="18.75" customHeight="1" thickBot="1" x14ac:dyDescent="0.3">
      <c r="A15" s="293"/>
      <c r="B15" s="297"/>
      <c r="C15" s="42"/>
      <c r="D15" s="43"/>
      <c r="E15" s="42"/>
      <c r="F15" s="303"/>
      <c r="G15" s="303"/>
      <c r="H15" s="303"/>
      <c r="I15" s="303"/>
      <c r="J15" s="303"/>
      <c r="K15" s="65" t="s">
        <v>131</v>
      </c>
      <c r="L15" s="158"/>
      <c r="M15" s="186" t="s">
        <v>229</v>
      </c>
      <c r="N15" s="187" t="s">
        <v>230</v>
      </c>
      <c r="O15" s="187" t="s">
        <v>231</v>
      </c>
      <c r="P15" s="187"/>
      <c r="V15" s="206" t="s">
        <v>51</v>
      </c>
      <c r="W15" s="10"/>
      <c r="X15" s="10" t="s">
        <v>14</v>
      </c>
      <c r="Y15" s="32" t="s">
        <v>11</v>
      </c>
      <c r="Z15" s="207" t="s">
        <v>80</v>
      </c>
      <c r="AB15" s="208">
        <v>210</v>
      </c>
      <c r="AC15" s="208">
        <v>210</v>
      </c>
      <c r="AD15" s="208">
        <v>210</v>
      </c>
    </row>
    <row r="16" spans="1:38" ht="15.75" customHeight="1" x14ac:dyDescent="0.25">
      <c r="A16" s="293"/>
      <c r="B16" s="298"/>
      <c r="C16" s="57">
        <f>IF(F13=$V$26,IF(C15=$Z$31,500,IF(C15=$Z$32,1000,0)),IF(C15=$Z$31,1000,IF(C15=$Z$32,2000,0)))</f>
        <v>0</v>
      </c>
      <c r="D16" s="57">
        <f>IF(D15=$AB$31,290,0)</f>
        <v>0</v>
      </c>
      <c r="E16" s="58">
        <f>IF(E15="",0,IF(F13=V26,IF(E15=$V$35,0,450),IF(E15=$V$35,0,900)))</f>
        <v>0</v>
      </c>
      <c r="F16" s="312">
        <f>IF(F13=$V$26,IF(F15=$V$44,150,IF(F15=$V$45,150,IF(F15=$V$46,90,0))),IF(F15=$V$44,300,IF(F15=$V$45,300,IF(F15=$V$46,180,0))))</f>
        <v>0</v>
      </c>
      <c r="G16" s="313"/>
      <c r="H16" s="314">
        <f>IFERROR(VLOOKUP(H15,$Z$35:$AA$45,2,0),0)</f>
        <v>0</v>
      </c>
      <c r="I16" s="315"/>
      <c r="J16" s="316"/>
      <c r="K16" s="36">
        <f>SUM(C16:J16)</f>
        <v>0</v>
      </c>
      <c r="L16" s="161"/>
      <c r="M16" s="183"/>
      <c r="N16" s="183"/>
      <c r="O16" s="183"/>
      <c r="P16" s="183"/>
      <c r="R16" s="33"/>
      <c r="S16" s="33"/>
      <c r="T16" s="33"/>
      <c r="V16" s="206" t="s">
        <v>54</v>
      </c>
      <c r="W16" s="10"/>
      <c r="X16" s="10" t="s">
        <v>12</v>
      </c>
      <c r="Y16" s="10" t="s">
        <v>15</v>
      </c>
      <c r="Z16" s="207" t="s">
        <v>82</v>
      </c>
    </row>
    <row r="17" spans="1:38" ht="27.75" customHeight="1" thickBot="1" x14ac:dyDescent="0.3">
      <c r="A17" s="293"/>
      <c r="B17" s="304" t="s">
        <v>135</v>
      </c>
      <c r="C17" s="320" t="s">
        <v>126</v>
      </c>
      <c r="D17" s="320"/>
      <c r="E17" s="66" t="s">
        <v>124</v>
      </c>
      <c r="F17" s="321" t="s">
        <v>125</v>
      </c>
      <c r="G17" s="321"/>
      <c r="H17" s="321" t="s">
        <v>127</v>
      </c>
      <c r="I17" s="322"/>
      <c r="J17" s="67" t="s">
        <v>132</v>
      </c>
      <c r="K17" s="37" t="str">
        <f>IFERROR(K13+K16,"")</f>
        <v/>
      </c>
      <c r="L17" s="162"/>
      <c r="M17" s="183"/>
      <c r="N17" s="183"/>
      <c r="O17" s="182"/>
      <c r="P17" s="182"/>
      <c r="V17" s="206" t="s">
        <v>18</v>
      </c>
      <c r="W17" s="10"/>
      <c r="X17" s="10"/>
      <c r="Y17" s="10" t="s">
        <v>13</v>
      </c>
      <c r="Z17" s="207" t="s">
        <v>87</v>
      </c>
    </row>
    <row r="18" spans="1:38" ht="19.5" customHeight="1" thickBot="1" x14ac:dyDescent="0.3">
      <c r="A18" s="293"/>
      <c r="B18" s="305"/>
      <c r="C18" s="303"/>
      <c r="D18" s="303"/>
      <c r="E18" s="42"/>
      <c r="F18" s="303"/>
      <c r="G18" s="303"/>
      <c r="H18" s="309"/>
      <c r="I18" s="309"/>
      <c r="J18" s="317" t="s">
        <v>133</v>
      </c>
      <c r="K18" s="68">
        <f>IF(SUM(Q18:T18)&gt;0,"kalkulace",SUM(C19:I19))</f>
        <v>0</v>
      </c>
      <c r="L18" s="142"/>
      <c r="M18" s="183"/>
      <c r="N18" s="183"/>
      <c r="O18" s="188"/>
      <c r="P18" s="188"/>
      <c r="Q18" s="198">
        <f>IF(C18=$Z$70,1,0)</f>
        <v>0</v>
      </c>
      <c r="R18" s="198">
        <f>IF(E18=$Z$70,1,0)</f>
        <v>0</v>
      </c>
      <c r="S18" s="198">
        <f>IF(F18=$Z$70,1,0)</f>
        <v>0</v>
      </c>
      <c r="T18" s="198">
        <f>IF(H18=$Z$70,1,0)</f>
        <v>0</v>
      </c>
      <c r="V18" s="206"/>
      <c r="W18" s="10"/>
      <c r="X18" s="10"/>
      <c r="Y18" s="10"/>
      <c r="Z18" s="207" t="s">
        <v>52</v>
      </c>
      <c r="AA18" s="221" t="s">
        <v>10</v>
      </c>
      <c r="AB18" s="222" t="s">
        <v>64</v>
      </c>
      <c r="AC18" s="222" t="s">
        <v>65</v>
      </c>
      <c r="AD18" s="222" t="s">
        <v>66</v>
      </c>
      <c r="AE18" s="222" t="s">
        <v>67</v>
      </c>
      <c r="AF18" s="222" t="s">
        <v>68</v>
      </c>
      <c r="AG18" s="222" t="s">
        <v>69</v>
      </c>
      <c r="AH18" s="222" t="s">
        <v>70</v>
      </c>
      <c r="AI18" s="222" t="s">
        <v>71</v>
      </c>
    </row>
    <row r="19" spans="1:38" ht="15.75" customHeight="1" x14ac:dyDescent="0.25">
      <c r="A19" s="293"/>
      <c r="B19" s="306"/>
      <c r="C19" s="307">
        <f>IFERROR(IF(C18=$Z$70,"nutná kalkulace",IF(C18="",0,IF(C18=$Z$49,0,VLOOKUP($R12,$V$53:$X$67,3,0)))),"konfiguruj dveře")</f>
        <v>0</v>
      </c>
      <c r="D19" s="308"/>
      <c r="E19" s="56">
        <f>IFERROR(IF(E18=$Z$70,"nutná kalkulace",IF(E18="",0,IF(E18=$Z$49,0,VLOOKUP($R12,$V$53:$X$67,3,0)))),"konfiguruj dveře")</f>
        <v>0</v>
      </c>
      <c r="F19" s="307">
        <f>IFERROR(IF(F18=$Z$70,"nutná kalkulace",IF(F18="",0,IF(F18=$Z$49,0,VLOOKUP($R12,$V$53:$X$67,3,0)))),"konfiguruj dveře")</f>
        <v>0</v>
      </c>
      <c r="G19" s="308"/>
      <c r="H19" s="307">
        <f>IFERROR(IF(H18=$Z$70,"nutná kalkulace",IF(H18="",0,IF(H18=$Z$49,0,VLOOKUP($R12,$V$53:$X$67,3,0)))),"konfiguruj dveře")</f>
        <v>0</v>
      </c>
      <c r="I19" s="308"/>
      <c r="J19" s="318"/>
      <c r="K19" s="38" t="str">
        <f>IFERROR(IF(K18=0,"",K17+K18),"")</f>
        <v/>
      </c>
      <c r="L19" s="163"/>
      <c r="M19" s="182"/>
      <c r="N19" s="182"/>
      <c r="O19" s="189"/>
      <c r="P19" s="189"/>
      <c r="V19" s="206"/>
      <c r="W19" s="10"/>
      <c r="X19" s="10"/>
      <c r="Y19" s="10"/>
      <c r="Z19" s="207" t="s">
        <v>83</v>
      </c>
      <c r="AA19" s="199" t="s">
        <v>72</v>
      </c>
      <c r="AB19" s="32" t="s">
        <v>24</v>
      </c>
      <c r="AC19" s="32" t="s">
        <v>24</v>
      </c>
      <c r="AD19" s="32" t="s">
        <v>24</v>
      </c>
      <c r="AE19" s="32" t="s">
        <v>24</v>
      </c>
      <c r="AF19" s="32" t="s">
        <v>24</v>
      </c>
      <c r="AG19" s="32" t="s">
        <v>24</v>
      </c>
      <c r="AH19" s="32" t="s">
        <v>24</v>
      </c>
      <c r="AI19" s="32" t="s">
        <v>24</v>
      </c>
    </row>
    <row r="20" spans="1:38" ht="27" customHeight="1" thickBot="1" x14ac:dyDescent="0.3">
      <c r="A20" s="294"/>
      <c r="B20" s="49" t="s">
        <v>138</v>
      </c>
      <c r="C20" s="50"/>
      <c r="D20" s="310"/>
      <c r="E20" s="311"/>
      <c r="F20" s="311"/>
      <c r="G20" s="311"/>
      <c r="H20" s="311"/>
      <c r="I20" s="46" t="s">
        <v>136</v>
      </c>
      <c r="J20" s="47"/>
      <c r="K20" s="48" t="str">
        <f>IFERROR(IF(J20="","&lt;--  zadej množství",K19*J20),"")</f>
        <v>&lt;--  zadej množství</v>
      </c>
      <c r="L20" s="164"/>
      <c r="M20" s="182"/>
      <c r="N20" s="182"/>
      <c r="O20" s="182"/>
      <c r="P20" s="182"/>
      <c r="R20" s="32">
        <f>IF(ISNUMBER(K20),K20,0)</f>
        <v>0</v>
      </c>
      <c r="V20" s="206"/>
      <c r="W20" s="10"/>
      <c r="X20" s="10"/>
      <c r="Y20" s="10"/>
      <c r="Z20" s="207" t="s">
        <v>84</v>
      </c>
      <c r="AA20" s="199" t="s">
        <v>73</v>
      </c>
      <c r="AB20" s="32" t="s">
        <v>88</v>
      </c>
      <c r="AD20" s="32" t="s">
        <v>88</v>
      </c>
    </row>
    <row r="21" spans="1:38" ht="15.6" customHeight="1" thickTop="1" thickBot="1" x14ac:dyDescent="0.3">
      <c r="A21" s="292" t="s">
        <v>139</v>
      </c>
      <c r="B21" s="295" t="s">
        <v>134</v>
      </c>
      <c r="C21" s="60" t="s">
        <v>56</v>
      </c>
      <c r="D21" s="35" t="s">
        <v>19</v>
      </c>
      <c r="E21" s="60" t="s">
        <v>55</v>
      </c>
      <c r="F21" s="60" t="s">
        <v>23</v>
      </c>
      <c r="G21" s="35" t="s">
        <v>21</v>
      </c>
      <c r="H21" s="35" t="s">
        <v>7</v>
      </c>
      <c r="I21" s="35" t="s">
        <v>22</v>
      </c>
      <c r="J21" s="35" t="s">
        <v>10</v>
      </c>
      <c r="K21" s="61" t="s">
        <v>128</v>
      </c>
      <c r="L21" s="165"/>
      <c r="M21" s="182"/>
      <c r="N21" s="182"/>
      <c r="O21" s="182"/>
      <c r="P21" s="182"/>
      <c r="R21" s="32" t="str">
        <f>CONCATENATE(G22,"_",H22)</f>
        <v>_</v>
      </c>
      <c r="T21" s="33"/>
      <c r="V21" s="206"/>
      <c r="W21" s="10"/>
      <c r="X21" s="10"/>
      <c r="Y21" s="10"/>
      <c r="Z21" s="207" t="s">
        <v>53</v>
      </c>
      <c r="AA21" s="199" t="s">
        <v>74</v>
      </c>
    </row>
    <row r="22" spans="1:38" ht="18.75" customHeight="1" thickBot="1" x14ac:dyDescent="0.3">
      <c r="A22" s="293"/>
      <c r="B22" s="296"/>
      <c r="C22" s="44" t="s">
        <v>227</v>
      </c>
      <c r="D22" s="89"/>
      <c r="E22" s="93"/>
      <c r="F22" s="93"/>
      <c r="G22" s="89"/>
      <c r="H22" s="89"/>
      <c r="I22" s="93"/>
      <c r="J22" s="89"/>
      <c r="K22" s="178" t="str">
        <f>IFERROR(VLOOKUP(S22,$AG$29:$AH$56,2,0),"")</f>
        <v/>
      </c>
      <c r="L22" s="166"/>
      <c r="M22" s="190"/>
      <c r="N22" s="190"/>
      <c r="O22" s="191"/>
      <c r="P22" s="191"/>
      <c r="Q22" s="204"/>
      <c r="R22" s="205" t="str">
        <f>CONCATENATE(D22,F22)</f>
        <v/>
      </c>
      <c r="S22" s="205" t="str">
        <f>CONCATENATE(D22,G22)</f>
        <v/>
      </c>
      <c r="T22" s="33"/>
      <c r="V22" s="206"/>
      <c r="W22" s="10"/>
      <c r="X22" s="10"/>
      <c r="Y22" s="10"/>
      <c r="Z22" s="207" t="s">
        <v>85</v>
      </c>
      <c r="AA22" s="199" t="s">
        <v>75</v>
      </c>
    </row>
    <row r="23" spans="1:38" ht="15.6" customHeight="1" thickBot="1" x14ac:dyDescent="0.3">
      <c r="A23" s="293"/>
      <c r="B23" s="296"/>
      <c r="C23" s="62" t="s">
        <v>89</v>
      </c>
      <c r="D23" s="41" t="s">
        <v>32</v>
      </c>
      <c r="E23" s="92" t="s">
        <v>93</v>
      </c>
      <c r="F23" s="299" t="s">
        <v>95</v>
      </c>
      <c r="G23" s="299"/>
      <c r="H23" s="300" t="s">
        <v>96</v>
      </c>
      <c r="I23" s="301"/>
      <c r="J23" s="302"/>
      <c r="K23" s="64" t="s">
        <v>130</v>
      </c>
      <c r="L23" s="167"/>
      <c r="M23" s="192"/>
      <c r="N23" s="192"/>
      <c r="O23" s="193"/>
      <c r="P23" s="193"/>
      <c r="T23" s="33"/>
      <c r="V23" s="209"/>
      <c r="W23" s="210"/>
      <c r="X23" s="210"/>
      <c r="Y23" s="210"/>
      <c r="Z23" s="211" t="s">
        <v>86</v>
      </c>
      <c r="AA23" s="199" t="s">
        <v>76</v>
      </c>
    </row>
    <row r="24" spans="1:38" ht="18.75" customHeight="1" thickBot="1" x14ac:dyDescent="0.3">
      <c r="A24" s="293"/>
      <c r="B24" s="297"/>
      <c r="C24" s="93"/>
      <c r="D24" s="89"/>
      <c r="E24" s="93"/>
      <c r="F24" s="303"/>
      <c r="G24" s="303"/>
      <c r="H24" s="303"/>
      <c r="I24" s="303"/>
      <c r="J24" s="303"/>
      <c r="K24" s="65" t="s">
        <v>131</v>
      </c>
      <c r="L24" s="168"/>
      <c r="M24" s="185" t="s">
        <v>235</v>
      </c>
      <c r="N24" s="185" t="s">
        <v>235</v>
      </c>
      <c r="O24" s="185" t="s">
        <v>235</v>
      </c>
      <c r="P24" s="185"/>
      <c r="AA24" s="199" t="s">
        <v>77</v>
      </c>
    </row>
    <row r="25" spans="1:38" ht="15.75" customHeight="1" x14ac:dyDescent="0.25">
      <c r="A25" s="293"/>
      <c r="B25" s="298"/>
      <c r="C25" s="57">
        <f>IF(F22=$V$26,IF(C24=$Z$31,500,IF(C24=$Z$32,1000,0)),IF(C24=$Z$31,1000,IF(C24=$Z$32,2000,0)))</f>
        <v>0</v>
      </c>
      <c r="D25" s="57">
        <f>IF(D24=$AB$31,290,0)</f>
        <v>0</v>
      </c>
      <c r="E25" s="90">
        <f>IF(E24="",0,IF(F22=V35,IF(E24=$V$35,0,450),IF(E24=$V$35,0,900)))</f>
        <v>0</v>
      </c>
      <c r="F25" s="312">
        <f>IF(F22=$V$26,IF(F24=$V$44,150,IF(F24=$V$45,150,IF(F24=$V$46,90,0))),IF(F24=$V$44,300,IF(F24=$V$45,300,IF(F24=$V$46,180,0))))</f>
        <v>0</v>
      </c>
      <c r="G25" s="313"/>
      <c r="H25" s="314">
        <f>IFERROR(VLOOKUP(H24,$Z$35:$AA$45,2,0),0)</f>
        <v>0</v>
      </c>
      <c r="I25" s="315"/>
      <c r="J25" s="316"/>
      <c r="K25" s="36">
        <f>SUM(C25:J25)</f>
        <v>0</v>
      </c>
      <c r="L25" s="169"/>
      <c r="M25" s="187" t="s">
        <v>232</v>
      </c>
      <c r="N25" s="187" t="s">
        <v>233</v>
      </c>
      <c r="O25" s="187" t="s">
        <v>234</v>
      </c>
      <c r="P25" s="187"/>
      <c r="R25" s="33"/>
      <c r="S25" s="33"/>
      <c r="T25" s="33"/>
      <c r="V25" s="32" t="s">
        <v>23</v>
      </c>
      <c r="W25" s="32" t="s">
        <v>59</v>
      </c>
      <c r="X25" s="32" t="s">
        <v>20</v>
      </c>
      <c r="Z25" s="16" t="s">
        <v>22</v>
      </c>
      <c r="AA25" s="199" t="s">
        <v>78</v>
      </c>
    </row>
    <row r="26" spans="1:38" ht="25.5" customHeight="1" thickBot="1" x14ac:dyDescent="0.3">
      <c r="A26" s="293"/>
      <c r="B26" s="304" t="s">
        <v>135</v>
      </c>
      <c r="C26" s="320" t="s">
        <v>163</v>
      </c>
      <c r="D26" s="320"/>
      <c r="E26" s="66" t="s">
        <v>124</v>
      </c>
      <c r="F26" s="321" t="s">
        <v>125</v>
      </c>
      <c r="G26" s="321"/>
      <c r="H26" s="321" t="s">
        <v>127</v>
      </c>
      <c r="I26" s="322"/>
      <c r="J26" s="67" t="s">
        <v>132</v>
      </c>
      <c r="K26" s="37" t="str">
        <f>IFERROR(K22+K25,"")</f>
        <v/>
      </c>
      <c r="L26" s="162"/>
      <c r="M26" s="194"/>
      <c r="N26" s="194"/>
      <c r="O26" s="195"/>
      <c r="P26" s="195"/>
      <c r="V26" s="32" t="s">
        <v>59</v>
      </c>
      <c r="W26" s="208">
        <v>60</v>
      </c>
      <c r="X26" s="208">
        <v>125</v>
      </c>
      <c r="Y26" s="208"/>
      <c r="Z26" s="208" t="s">
        <v>9</v>
      </c>
      <c r="AA26" s="199" t="s">
        <v>79</v>
      </c>
      <c r="AL26" s="10"/>
    </row>
    <row r="27" spans="1:38" ht="18.75" customHeight="1" thickBot="1" x14ac:dyDescent="0.3">
      <c r="A27" s="293"/>
      <c r="B27" s="305"/>
      <c r="C27" s="303"/>
      <c r="D27" s="303"/>
      <c r="E27" s="93"/>
      <c r="F27" s="303"/>
      <c r="G27" s="303"/>
      <c r="H27" s="309"/>
      <c r="I27" s="309"/>
      <c r="J27" s="317" t="s">
        <v>133</v>
      </c>
      <c r="K27" s="68">
        <f>IF(SUM(Q27:T27)&gt;0,"kalkulace",SUM(C28:I28))</f>
        <v>0</v>
      </c>
      <c r="L27" s="142"/>
      <c r="M27" s="182"/>
      <c r="N27" s="182"/>
      <c r="O27" s="196"/>
      <c r="P27" s="196"/>
      <c r="Q27" s="198">
        <f>IF(C27=$Z$70,1,0)</f>
        <v>0</v>
      </c>
      <c r="R27" s="198">
        <f>IF(E27=$Z$70,1,0)</f>
        <v>0</v>
      </c>
      <c r="S27" s="198">
        <f>IF(F27=$Z$70,1,0)</f>
        <v>0</v>
      </c>
      <c r="T27" s="198">
        <f>IF(H27=$Z$70,1,0)</f>
        <v>0</v>
      </c>
      <c r="V27" s="32" t="s">
        <v>20</v>
      </c>
      <c r="W27" s="208">
        <v>70</v>
      </c>
      <c r="X27" s="208">
        <v>145</v>
      </c>
      <c r="Y27" s="208"/>
      <c r="Z27" s="208" t="s">
        <v>8</v>
      </c>
      <c r="AL27" s="10"/>
    </row>
    <row r="28" spans="1:38" ht="15.75" customHeight="1" x14ac:dyDescent="0.25">
      <c r="A28" s="293"/>
      <c r="B28" s="306"/>
      <c r="C28" s="307">
        <f>IFERROR(IF(C27=$Z$70,"nutná kalkulace",IF(C27="",0,IF(C27=$Z$49,0,VLOOKUP($R21,$V$53:$X$67,3,0)))),"konfiguruj dveře")</f>
        <v>0</v>
      </c>
      <c r="D28" s="308"/>
      <c r="E28" s="91">
        <f>IFERROR(IF(E27=$Z$70,"nutná kalkulace",IF(E27="",0,IF(E27=$Z$49,0,VLOOKUP($R21,$V$53:$X$67,3,0)))),"konfiguruj dveře")</f>
        <v>0</v>
      </c>
      <c r="F28" s="307">
        <f>IFERROR(IF(F27=$Z$70,"nutná kalkulace",IF(F27="",0,IF(F27=$Z$49,0,VLOOKUP($R21,$V$53:$X$67,3,0)))),"konfiguruj dveře")</f>
        <v>0</v>
      </c>
      <c r="G28" s="308"/>
      <c r="H28" s="307">
        <f>IFERROR(IF(H27=$Z$70,"nutná kalkulace",IF(H27="",0,IF(H27=$Z$49,0,VLOOKUP($R21,$V$53:$X$67,3,0)))),"konfiguruj dveře")</f>
        <v>0</v>
      </c>
      <c r="I28" s="308"/>
      <c r="J28" s="318"/>
      <c r="K28" s="38" t="str">
        <f>IFERROR(IF(K27=0,"",K26+K27),"")</f>
        <v/>
      </c>
      <c r="L28" s="163"/>
      <c r="M28" s="195"/>
      <c r="N28" s="195"/>
      <c r="O28" s="197"/>
      <c r="P28" s="197"/>
      <c r="W28" s="208">
        <v>80</v>
      </c>
      <c r="AL28" s="10"/>
    </row>
    <row r="29" spans="1:38" ht="27" customHeight="1" thickBot="1" x14ac:dyDescent="0.3">
      <c r="A29" s="294"/>
      <c r="B29" s="49" t="s">
        <v>138</v>
      </c>
      <c r="C29" s="50"/>
      <c r="D29" s="310"/>
      <c r="E29" s="311"/>
      <c r="F29" s="311"/>
      <c r="G29" s="311"/>
      <c r="H29" s="311"/>
      <c r="I29" s="46" t="s">
        <v>136</v>
      </c>
      <c r="J29" s="47"/>
      <c r="K29" s="48" t="str">
        <f>IFERROR(IF(J29="","&lt;--  zadej množství",K28*J29),"")</f>
        <v>&lt;--  zadej množství</v>
      </c>
      <c r="L29" s="164"/>
      <c r="M29" s="196"/>
      <c r="N29" s="196"/>
      <c r="O29" s="190"/>
      <c r="P29" s="190"/>
      <c r="R29" s="32">
        <f>IF(ISNUMBER(K29),K29,0)</f>
        <v>0</v>
      </c>
      <c r="W29" s="208">
        <v>90</v>
      </c>
      <c r="Z29" s="16" t="s">
        <v>4</v>
      </c>
      <c r="AB29" s="16" t="s">
        <v>32</v>
      </c>
      <c r="AE29" s="208">
        <v>60</v>
      </c>
      <c r="AG29" s="32" t="s">
        <v>108</v>
      </c>
      <c r="AH29" s="212">
        <v>3790</v>
      </c>
      <c r="AL29" s="10"/>
    </row>
    <row r="30" spans="1:38" ht="15" customHeight="1" thickTop="1" thickBot="1" x14ac:dyDescent="0.3">
      <c r="A30" s="319" t="s">
        <v>201</v>
      </c>
      <c r="B30" s="295" t="s">
        <v>134</v>
      </c>
      <c r="C30" s="60" t="s">
        <v>56</v>
      </c>
      <c r="D30" s="35" t="s">
        <v>19</v>
      </c>
      <c r="E30" s="60" t="s">
        <v>55</v>
      </c>
      <c r="F30" s="60" t="s">
        <v>23</v>
      </c>
      <c r="G30" s="35" t="s">
        <v>21</v>
      </c>
      <c r="H30" s="35" t="s">
        <v>7</v>
      </c>
      <c r="I30" s="35" t="s">
        <v>22</v>
      </c>
      <c r="J30" s="35" t="s">
        <v>10</v>
      </c>
      <c r="K30" s="61" t="s">
        <v>128</v>
      </c>
      <c r="L30" s="165"/>
      <c r="M30" s="197"/>
      <c r="N30" s="197"/>
      <c r="O30" s="192"/>
      <c r="P30" s="192"/>
      <c r="R30" s="32" t="str">
        <f>CONCATENATE(G31,"_",H31)</f>
        <v>_</v>
      </c>
      <c r="T30" s="33"/>
      <c r="W30" s="208">
        <v>110</v>
      </c>
      <c r="Z30" s="208" t="s">
        <v>31</v>
      </c>
      <c r="AA30" s="213">
        <v>0</v>
      </c>
      <c r="AB30" s="208" t="s">
        <v>92</v>
      </c>
      <c r="AC30" s="213">
        <v>0</v>
      </c>
      <c r="AE30" s="208">
        <v>70</v>
      </c>
      <c r="AG30" s="32" t="s">
        <v>109</v>
      </c>
      <c r="AH30" s="212">
        <v>5580</v>
      </c>
    </row>
    <row r="31" spans="1:38" ht="18.75" customHeight="1" thickBot="1" x14ac:dyDescent="0.3">
      <c r="A31" s="293"/>
      <c r="B31" s="296"/>
      <c r="C31" s="44" t="s">
        <v>227</v>
      </c>
      <c r="D31" s="89"/>
      <c r="E31" s="93"/>
      <c r="F31" s="93"/>
      <c r="G31" s="89"/>
      <c r="H31" s="89"/>
      <c r="I31" s="93"/>
      <c r="J31" s="89"/>
      <c r="K31" s="178" t="str">
        <f>IFERROR(VLOOKUP(S31,$AG$29:$AH$56,2,0),"")</f>
        <v/>
      </c>
      <c r="L31" s="166"/>
      <c r="M31" s="190"/>
      <c r="N31" s="190"/>
      <c r="O31" s="191"/>
      <c r="P31" s="191"/>
      <c r="Q31" s="204"/>
      <c r="R31" s="205" t="str">
        <f>CONCATENATE(D31,F31)</f>
        <v/>
      </c>
      <c r="S31" s="205" t="str">
        <f>CONCATENATE(D31,G31)</f>
        <v/>
      </c>
      <c r="T31" s="33"/>
      <c r="Z31" s="208" t="s">
        <v>90</v>
      </c>
      <c r="AA31" s="213">
        <v>500</v>
      </c>
      <c r="AB31" s="208" t="s">
        <v>33</v>
      </c>
      <c r="AC31" s="213">
        <v>290</v>
      </c>
      <c r="AE31" s="208">
        <v>80</v>
      </c>
      <c r="AG31" s="32" t="s">
        <v>110</v>
      </c>
      <c r="AH31" s="212">
        <v>5580</v>
      </c>
    </row>
    <row r="32" spans="1:38" ht="15" customHeight="1" thickBot="1" x14ac:dyDescent="0.3">
      <c r="A32" s="293"/>
      <c r="B32" s="296"/>
      <c r="C32" s="62" t="s">
        <v>89</v>
      </c>
      <c r="D32" s="41" t="s">
        <v>32</v>
      </c>
      <c r="E32" s="92" t="s">
        <v>93</v>
      </c>
      <c r="F32" s="299" t="s">
        <v>95</v>
      </c>
      <c r="G32" s="299"/>
      <c r="H32" s="300" t="s">
        <v>96</v>
      </c>
      <c r="I32" s="301"/>
      <c r="J32" s="302"/>
      <c r="K32" s="64" t="s">
        <v>130</v>
      </c>
      <c r="L32" s="167"/>
      <c r="M32" s="192"/>
      <c r="N32" s="192"/>
      <c r="O32" s="193"/>
      <c r="P32" s="193"/>
      <c r="T32" s="33"/>
      <c r="Z32" s="208" t="s">
        <v>91</v>
      </c>
      <c r="AA32" s="213">
        <v>1000</v>
      </c>
      <c r="AE32" s="208">
        <v>90</v>
      </c>
      <c r="AG32" s="32" t="s">
        <v>104</v>
      </c>
      <c r="AH32" s="212">
        <v>2790</v>
      </c>
    </row>
    <row r="33" spans="1:34" ht="18.75" customHeight="1" thickBot="1" x14ac:dyDescent="0.3">
      <c r="A33" s="293"/>
      <c r="B33" s="297"/>
      <c r="C33" s="93"/>
      <c r="D33" s="89"/>
      <c r="E33" s="93"/>
      <c r="F33" s="303"/>
      <c r="G33" s="303"/>
      <c r="H33" s="303"/>
      <c r="I33" s="303"/>
      <c r="J33" s="303"/>
      <c r="K33" s="65" t="s">
        <v>131</v>
      </c>
      <c r="L33" s="168"/>
      <c r="M33" s="163"/>
      <c r="N33" s="163"/>
      <c r="O33" s="165"/>
      <c r="P33" s="165"/>
      <c r="AE33" s="208">
        <v>110</v>
      </c>
      <c r="AG33" s="32" t="s">
        <v>105</v>
      </c>
      <c r="AH33" s="212">
        <v>2790</v>
      </c>
    </row>
    <row r="34" spans="1:34" ht="15.75" customHeight="1" x14ac:dyDescent="0.25">
      <c r="A34" s="293"/>
      <c r="B34" s="298"/>
      <c r="C34" s="57">
        <f>IF(F31=$V$26,IF(C33=$Z$31,500,IF(C33=$Z$32,1000,0)),IF(C33=$Z$31,1000,IF(C33=$Z$32,2000,0)))</f>
        <v>0</v>
      </c>
      <c r="D34" s="57">
        <f>IF(D33=$AB$31,290,0)</f>
        <v>0</v>
      </c>
      <c r="E34" s="90">
        <f>IF(E33="",0,IF(F31=V44,IF(E33=$V$35,0,450),IF(E33=$V$35,0,900)))</f>
        <v>0</v>
      </c>
      <c r="F34" s="312">
        <f>IF(F31=$V$26,IF(F33=$V$44,150,IF(F33=$V$45,150,IF(F33=$V$46,90,0))),IF(F33=$V$44,300,IF(F33=$V$45,300,IF(F33=$V$46,180,0))))</f>
        <v>0</v>
      </c>
      <c r="G34" s="313"/>
      <c r="H34" s="314">
        <f>IFERROR(VLOOKUP(H33,$Z$35:$AA$45,2,0),0)</f>
        <v>0</v>
      </c>
      <c r="I34" s="315"/>
      <c r="J34" s="316"/>
      <c r="K34" s="36">
        <f>SUM(C34:J34)</f>
        <v>0</v>
      </c>
      <c r="L34" s="169"/>
      <c r="M34" s="164"/>
      <c r="N34" s="164"/>
      <c r="O34" s="166"/>
      <c r="P34" s="166"/>
      <c r="R34" s="33"/>
      <c r="S34" s="33"/>
      <c r="T34" s="33"/>
      <c r="V34" s="16" t="s">
        <v>25</v>
      </c>
      <c r="Z34" s="16" t="s">
        <v>5</v>
      </c>
      <c r="AE34" s="208">
        <v>125</v>
      </c>
      <c r="AG34" s="32" t="s">
        <v>106</v>
      </c>
      <c r="AH34" s="212">
        <v>2790</v>
      </c>
    </row>
    <row r="35" spans="1:34" ht="26.25" customHeight="1" thickBot="1" x14ac:dyDescent="0.3">
      <c r="A35" s="293"/>
      <c r="B35" s="304" t="s">
        <v>135</v>
      </c>
      <c r="C35" s="320" t="s">
        <v>163</v>
      </c>
      <c r="D35" s="320"/>
      <c r="E35" s="66" t="s">
        <v>124</v>
      </c>
      <c r="F35" s="321" t="s">
        <v>125</v>
      </c>
      <c r="G35" s="321"/>
      <c r="H35" s="321" t="s">
        <v>127</v>
      </c>
      <c r="I35" s="322"/>
      <c r="J35" s="67" t="s">
        <v>132</v>
      </c>
      <c r="K35" s="37" t="str">
        <f>IFERROR(K31+K34,"")</f>
        <v/>
      </c>
      <c r="L35" s="162"/>
      <c r="M35" s="165"/>
      <c r="N35" s="165"/>
      <c r="O35" s="167"/>
      <c r="P35" s="167"/>
      <c r="V35" s="214" t="s">
        <v>94</v>
      </c>
      <c r="W35" s="215">
        <v>0</v>
      </c>
      <c r="Z35" s="214" t="s">
        <v>36</v>
      </c>
      <c r="AA35" s="213">
        <v>0</v>
      </c>
      <c r="AE35" s="208">
        <v>145</v>
      </c>
      <c r="AG35" s="32" t="s">
        <v>107</v>
      </c>
      <c r="AH35" s="212">
        <v>2790</v>
      </c>
    </row>
    <row r="36" spans="1:34" ht="18.75" customHeight="1" thickBot="1" x14ac:dyDescent="0.3">
      <c r="A36" s="293"/>
      <c r="B36" s="305"/>
      <c r="C36" s="303"/>
      <c r="D36" s="303"/>
      <c r="E36" s="93"/>
      <c r="F36" s="303"/>
      <c r="G36" s="303"/>
      <c r="H36" s="309"/>
      <c r="I36" s="309"/>
      <c r="J36" s="317" t="s">
        <v>133</v>
      </c>
      <c r="K36" s="68">
        <f>IF(SUM(Q36:T36)&gt;0,"kalkulace",SUM(C37:I37))</f>
        <v>0</v>
      </c>
      <c r="L36" s="142"/>
      <c r="M36" s="166"/>
      <c r="N36" s="166"/>
      <c r="O36" s="168"/>
      <c r="P36" s="168"/>
      <c r="Q36" s="198">
        <f>IF(C36=$Z$70,1,0)</f>
        <v>0</v>
      </c>
      <c r="R36" s="198">
        <f>IF(E36=$Z$70,1,0)</f>
        <v>0</v>
      </c>
      <c r="S36" s="198">
        <f>IF(F36=$Z$70,1,0)</f>
        <v>0</v>
      </c>
      <c r="T36" s="198">
        <f>IF(H36=$Z$70,1,0)</f>
        <v>0</v>
      </c>
      <c r="V36" s="214" t="s">
        <v>29</v>
      </c>
      <c r="W36" s="215">
        <v>450</v>
      </c>
      <c r="Z36" s="214" t="s">
        <v>37</v>
      </c>
      <c r="AA36" s="213">
        <v>80</v>
      </c>
      <c r="AG36" s="32" t="s">
        <v>120</v>
      </c>
      <c r="AH36" s="212">
        <v>4900</v>
      </c>
    </row>
    <row r="37" spans="1:34" ht="15.75" customHeight="1" x14ac:dyDescent="0.25">
      <c r="A37" s="293"/>
      <c r="B37" s="306"/>
      <c r="C37" s="307">
        <f>IFERROR(IF(C36=$Z$70,"nutná kalkulace",IF(C36="",0,IF(C36=$Z$49,0,VLOOKUP($R30,$V$53:$X$67,3,0)))),"konfiguruj dveře")</f>
        <v>0</v>
      </c>
      <c r="D37" s="308"/>
      <c r="E37" s="91">
        <f>IFERROR(IF(E36=$Z$70,"nutná kalkulace",IF(E36="",0,IF(E36=$Z$49,0,VLOOKUP($R30,$V$53:$X$67,3,0)))),"konfiguruj dveře")</f>
        <v>0</v>
      </c>
      <c r="F37" s="307">
        <f>IFERROR(IF(F36=$Z$70,"nutná kalkulace",IF(F36="",0,IF(F36=$Z$49,0,VLOOKUP($R30,$V$53:$X$67,3,0)))),"konfiguruj dveře")</f>
        <v>0</v>
      </c>
      <c r="G37" s="308"/>
      <c r="H37" s="307">
        <f>IFERROR(IF(H36=$Z$70,"nutná kalkulace",IF(H36="",0,IF(H36=$Z$49,0,VLOOKUP($R30,$V$53:$X$67,3,0)))),"konfiguruj dveře")</f>
        <v>0</v>
      </c>
      <c r="I37" s="308"/>
      <c r="J37" s="318"/>
      <c r="K37" s="38" t="str">
        <f>IFERROR(IF(K36=0,"",K35+K36),"")</f>
        <v/>
      </c>
      <c r="L37" s="163"/>
      <c r="M37" s="167"/>
      <c r="N37" s="167"/>
      <c r="O37" s="169"/>
      <c r="P37" s="169"/>
      <c r="V37" s="214" t="s">
        <v>27</v>
      </c>
      <c r="W37" s="215">
        <v>450</v>
      </c>
      <c r="Z37" s="214" t="s">
        <v>38</v>
      </c>
      <c r="AA37" s="213">
        <v>0</v>
      </c>
      <c r="AG37" s="32" t="s">
        <v>121</v>
      </c>
      <c r="AH37" s="212">
        <v>8000</v>
      </c>
    </row>
    <row r="38" spans="1:34" ht="27" customHeight="1" thickBot="1" x14ac:dyDescent="0.3">
      <c r="A38" s="294"/>
      <c r="B38" s="49" t="s">
        <v>138</v>
      </c>
      <c r="C38" s="50"/>
      <c r="D38" s="310"/>
      <c r="E38" s="311"/>
      <c r="F38" s="311"/>
      <c r="G38" s="311"/>
      <c r="H38" s="311"/>
      <c r="I38" s="46" t="s">
        <v>136</v>
      </c>
      <c r="J38" s="47"/>
      <c r="K38" s="48" t="str">
        <f>IFERROR(IF(J38="","&lt;--  zadej množství",K37*J38),"")</f>
        <v>&lt;--  zadej množství</v>
      </c>
      <c r="L38" s="164"/>
      <c r="M38" s="168"/>
      <c r="N38" s="168"/>
      <c r="O38" s="162"/>
      <c r="P38" s="162"/>
      <c r="R38" s="32">
        <f>IF(ISNUMBER(K38),K38,0)</f>
        <v>0</v>
      </c>
      <c r="V38" s="214" t="s">
        <v>30</v>
      </c>
      <c r="W38" s="215">
        <v>450</v>
      </c>
      <c r="Z38" s="214" t="s">
        <v>39</v>
      </c>
      <c r="AA38" s="213">
        <v>0</v>
      </c>
      <c r="AG38" s="32" t="s">
        <v>122</v>
      </c>
      <c r="AH38" s="212">
        <v>8000</v>
      </c>
    </row>
    <row r="39" spans="1:34" ht="22.9" customHeight="1" thickTop="1" thickBot="1" x14ac:dyDescent="0.3">
      <c r="F39" s="341" t="s">
        <v>210</v>
      </c>
      <c r="G39" s="342"/>
      <c r="H39" s="342"/>
      <c r="I39" s="118" t="s">
        <v>136</v>
      </c>
      <c r="J39" s="107">
        <f>J20+J29+J38</f>
        <v>0</v>
      </c>
      <c r="K39" s="108">
        <f>R38+R29+R20</f>
        <v>0</v>
      </c>
      <c r="L39" s="165"/>
      <c r="M39" s="17"/>
      <c r="N39" s="169"/>
      <c r="O39" s="142"/>
      <c r="P39" s="142"/>
      <c r="V39" s="214" t="s">
        <v>26</v>
      </c>
      <c r="W39" s="215">
        <v>450</v>
      </c>
      <c r="Z39" s="214" t="s">
        <v>40</v>
      </c>
      <c r="AA39" s="213">
        <v>80</v>
      </c>
      <c r="AG39" s="32" t="s">
        <v>118</v>
      </c>
      <c r="AH39" s="212">
        <v>4000</v>
      </c>
    </row>
    <row r="40" spans="1:34" x14ac:dyDescent="0.25">
      <c r="F40" s="106"/>
      <c r="G40" s="106"/>
      <c r="H40" s="106"/>
      <c r="I40" s="106"/>
      <c r="J40" s="106"/>
      <c r="K40" s="109" t="s">
        <v>202</v>
      </c>
      <c r="L40" s="166"/>
      <c r="N40" s="162"/>
      <c r="O40" s="163"/>
      <c r="P40" s="163"/>
      <c r="V40" s="214" t="s">
        <v>28</v>
      </c>
      <c r="W40" s="215">
        <v>450</v>
      </c>
      <c r="Z40" s="214" t="s">
        <v>41</v>
      </c>
      <c r="AA40" s="213">
        <v>0</v>
      </c>
      <c r="AG40" s="32" t="s">
        <v>119</v>
      </c>
      <c r="AH40" s="212">
        <v>4000</v>
      </c>
    </row>
    <row r="41" spans="1:34" x14ac:dyDescent="0.25">
      <c r="K41" s="282" t="s">
        <v>221</v>
      </c>
      <c r="L41" s="167"/>
      <c r="Z41" s="27" t="s">
        <v>42</v>
      </c>
      <c r="AA41" s="3">
        <v>650</v>
      </c>
      <c r="AG41" s="32" t="s">
        <v>418</v>
      </c>
      <c r="AH41" s="212">
        <v>4000</v>
      </c>
    </row>
    <row r="42" spans="1:34" ht="15.75" customHeight="1" x14ac:dyDescent="0.25">
      <c r="L42" s="168"/>
      <c r="Z42" s="27" t="s">
        <v>43</v>
      </c>
      <c r="AA42" s="3">
        <v>650</v>
      </c>
      <c r="AG42" s="32" t="s">
        <v>419</v>
      </c>
      <c r="AH42" s="212">
        <v>4000</v>
      </c>
    </row>
    <row r="43" spans="1:34" ht="15.75" thickBot="1" x14ac:dyDescent="0.3">
      <c r="L43" s="169"/>
      <c r="M43" s="164"/>
      <c r="N43" s="164"/>
      <c r="O43" s="166"/>
      <c r="P43" s="166"/>
      <c r="V43" s="16" t="s">
        <v>6</v>
      </c>
      <c r="Z43" s="214" t="s">
        <v>44</v>
      </c>
      <c r="AA43" s="213">
        <v>650</v>
      </c>
      <c r="AG43" s="32" t="s">
        <v>101</v>
      </c>
      <c r="AH43" s="212">
        <v>2090</v>
      </c>
    </row>
    <row r="44" spans="1:34" ht="15.75" thickBot="1" x14ac:dyDescent="0.3">
      <c r="A44" s="319" t="s">
        <v>206</v>
      </c>
      <c r="B44" s="295" t="s">
        <v>134</v>
      </c>
      <c r="C44" s="60" t="s">
        <v>56</v>
      </c>
      <c r="D44" s="35" t="s">
        <v>19</v>
      </c>
      <c r="E44" s="60" t="s">
        <v>55</v>
      </c>
      <c r="F44" s="60" t="s">
        <v>23</v>
      </c>
      <c r="G44" s="35" t="s">
        <v>21</v>
      </c>
      <c r="H44" s="35" t="s">
        <v>7</v>
      </c>
      <c r="I44" s="35" t="s">
        <v>22</v>
      </c>
      <c r="J44" s="35" t="s">
        <v>10</v>
      </c>
      <c r="K44" s="61" t="s">
        <v>128</v>
      </c>
      <c r="L44" s="170"/>
      <c r="M44" s="165"/>
      <c r="N44" s="165"/>
      <c r="O44" s="167"/>
      <c r="P44" s="167"/>
      <c r="R44" s="32" t="str">
        <f>CONCATENATE(G45,"_",H45)</f>
        <v>_</v>
      </c>
      <c r="T44" s="33"/>
      <c r="V44" s="214" t="s">
        <v>34</v>
      </c>
      <c r="W44" s="215">
        <v>150</v>
      </c>
      <c r="Z44" s="214" t="s">
        <v>129</v>
      </c>
      <c r="AA44" s="213">
        <v>650</v>
      </c>
      <c r="AG44" s="32" t="s">
        <v>102</v>
      </c>
      <c r="AH44" s="212">
        <v>3180</v>
      </c>
    </row>
    <row r="45" spans="1:34" ht="16.899999999999999" customHeight="1" thickBot="1" x14ac:dyDescent="0.3">
      <c r="A45" s="293"/>
      <c r="B45" s="296"/>
      <c r="C45" s="44" t="s">
        <v>227</v>
      </c>
      <c r="D45" s="89"/>
      <c r="E45" s="93"/>
      <c r="F45" s="93"/>
      <c r="G45" s="89"/>
      <c r="H45" s="89"/>
      <c r="I45" s="93"/>
      <c r="J45" s="89"/>
      <c r="K45" s="178" t="str">
        <f>IFERROR(VLOOKUP(S45,$AG$29:$AH$56,2,0),"")</f>
        <v/>
      </c>
      <c r="M45" s="166"/>
      <c r="N45" s="166"/>
      <c r="O45" s="168"/>
      <c r="P45" s="168"/>
      <c r="Q45" s="204"/>
      <c r="R45" s="205" t="str">
        <f>CONCATENATE(D45,F45)</f>
        <v/>
      </c>
      <c r="S45" s="205" t="str">
        <f>CONCATENATE(D45,G45)</f>
        <v/>
      </c>
      <c r="T45" s="33"/>
      <c r="V45" s="214" t="s">
        <v>35</v>
      </c>
      <c r="W45" s="215">
        <v>150</v>
      </c>
      <c r="Z45" s="214" t="s">
        <v>45</v>
      </c>
      <c r="AA45" s="213">
        <v>0</v>
      </c>
      <c r="AG45" s="32" t="s">
        <v>103</v>
      </c>
      <c r="AH45" s="212">
        <v>3180</v>
      </c>
    </row>
    <row r="46" spans="1:34" ht="15.75" thickBot="1" x14ac:dyDescent="0.3">
      <c r="A46" s="293"/>
      <c r="B46" s="296"/>
      <c r="C46" s="62" t="s">
        <v>89</v>
      </c>
      <c r="D46" s="41" t="s">
        <v>32</v>
      </c>
      <c r="E46" s="92" t="s">
        <v>93</v>
      </c>
      <c r="F46" s="299" t="s">
        <v>95</v>
      </c>
      <c r="G46" s="299"/>
      <c r="H46" s="300" t="s">
        <v>96</v>
      </c>
      <c r="I46" s="301"/>
      <c r="J46" s="302"/>
      <c r="K46" s="64" t="s">
        <v>130</v>
      </c>
      <c r="M46" s="167"/>
      <c r="N46" s="167"/>
      <c r="O46" s="164"/>
      <c r="P46" s="164"/>
      <c r="T46" s="33"/>
      <c r="V46" s="214" t="s">
        <v>50</v>
      </c>
      <c r="W46" s="215">
        <v>90</v>
      </c>
      <c r="AG46" s="32" t="s">
        <v>97</v>
      </c>
      <c r="AH46" s="212">
        <v>1590</v>
      </c>
    </row>
    <row r="47" spans="1:34" ht="16.899999999999999" customHeight="1" thickBot="1" x14ac:dyDescent="0.3">
      <c r="A47" s="293"/>
      <c r="B47" s="297"/>
      <c r="C47" s="93"/>
      <c r="D47" s="89"/>
      <c r="E47" s="93"/>
      <c r="F47" s="303"/>
      <c r="G47" s="303"/>
      <c r="H47" s="303"/>
      <c r="I47" s="303"/>
      <c r="J47" s="303"/>
      <c r="K47" s="65" t="s">
        <v>131</v>
      </c>
      <c r="M47" s="168"/>
      <c r="N47" s="168"/>
      <c r="O47" s="165"/>
      <c r="P47" s="165"/>
      <c r="V47" s="214" t="s">
        <v>47</v>
      </c>
      <c r="W47" s="215">
        <v>0</v>
      </c>
      <c r="AG47" s="32" t="s">
        <v>98</v>
      </c>
      <c r="AH47" s="212">
        <v>1590</v>
      </c>
    </row>
    <row r="48" spans="1:34" x14ac:dyDescent="0.25">
      <c r="A48" s="293"/>
      <c r="B48" s="298"/>
      <c r="C48" s="57">
        <f>IF(F45=$V$26,IF(C47=$Z$31,500,IF(C47=$Z$32,1000,0)),IF(C47=$Z$31,1000,IF(C47=$Z$32,2000,0)))</f>
        <v>0</v>
      </c>
      <c r="D48" s="57">
        <f>IF(D47=$AB$31,290,0)</f>
        <v>0</v>
      </c>
      <c r="E48" s="90">
        <f>IF(E47="",0,IF(F45=V59,IF(E47=$V$35,0,450),IF(E47=$V$35,0,900)))</f>
        <v>0</v>
      </c>
      <c r="F48" s="312">
        <f>IF(F45=$V$26,IF(F47=$V$44,150,IF(F47=$V$45,150,IF(F47=$V$46,90,0))),IF(F47=$V$44,300,IF(F47=$V$45,300,IF(F47=$V$46,180,0))))</f>
        <v>0</v>
      </c>
      <c r="G48" s="313"/>
      <c r="H48" s="314">
        <f>IFERROR(VLOOKUP(H47,$Z$35:$AA$45,2,0),0)</f>
        <v>0</v>
      </c>
      <c r="I48" s="315"/>
      <c r="J48" s="316"/>
      <c r="K48" s="36">
        <f>SUM(C48:J48)</f>
        <v>0</v>
      </c>
      <c r="L48" s="162"/>
      <c r="M48" s="164"/>
      <c r="N48" s="164"/>
      <c r="O48" s="166"/>
      <c r="P48" s="166"/>
      <c r="R48" s="33"/>
      <c r="S48" s="33"/>
      <c r="T48" s="33"/>
      <c r="V48" s="214" t="s">
        <v>48</v>
      </c>
      <c r="W48" s="215">
        <v>0</v>
      </c>
      <c r="Z48" s="216" t="s">
        <v>123</v>
      </c>
      <c r="AA48" s="217"/>
      <c r="AG48" s="32" t="s">
        <v>99</v>
      </c>
      <c r="AH48" s="212">
        <v>1590</v>
      </c>
    </row>
    <row r="49" spans="1:34" ht="26.25" thickBot="1" x14ac:dyDescent="0.3">
      <c r="A49" s="293"/>
      <c r="B49" s="304" t="s">
        <v>135</v>
      </c>
      <c r="C49" s="320" t="s">
        <v>126</v>
      </c>
      <c r="D49" s="320"/>
      <c r="E49" s="66" t="s">
        <v>124</v>
      </c>
      <c r="F49" s="321" t="s">
        <v>125</v>
      </c>
      <c r="G49" s="321"/>
      <c r="H49" s="321" t="s">
        <v>127</v>
      </c>
      <c r="I49" s="322"/>
      <c r="J49" s="67" t="s">
        <v>132</v>
      </c>
      <c r="K49" s="37" t="str">
        <f>IFERROR(K45+K48,"")</f>
        <v/>
      </c>
      <c r="L49" s="142"/>
      <c r="M49" s="165"/>
      <c r="N49" s="165"/>
      <c r="O49" s="167"/>
      <c r="P49" s="167"/>
      <c r="V49" s="214" t="s">
        <v>49</v>
      </c>
      <c r="W49" s="215">
        <v>0</v>
      </c>
      <c r="Z49" s="32" t="s">
        <v>226</v>
      </c>
      <c r="AA49" s="217"/>
      <c r="AG49" s="32" t="s">
        <v>100</v>
      </c>
      <c r="AH49" s="212">
        <v>1590</v>
      </c>
    </row>
    <row r="50" spans="1:34" ht="17.45" customHeight="1" thickBot="1" x14ac:dyDescent="0.3">
      <c r="A50" s="293"/>
      <c r="B50" s="305"/>
      <c r="C50" s="303"/>
      <c r="D50" s="303"/>
      <c r="E50" s="93"/>
      <c r="F50" s="303"/>
      <c r="G50" s="303"/>
      <c r="H50" s="309"/>
      <c r="I50" s="309"/>
      <c r="J50" s="317" t="s">
        <v>133</v>
      </c>
      <c r="K50" s="68">
        <f>IF(SUM(Q50:T50)&gt;0,"kalkulace",SUM(C51:I51))</f>
        <v>0</v>
      </c>
      <c r="L50" s="163"/>
      <c r="M50" s="166"/>
      <c r="N50" s="166"/>
      <c r="O50" s="168"/>
      <c r="P50" s="168"/>
      <c r="Q50" s="198">
        <f>IF(C50=$Z$70,1,0)</f>
        <v>0</v>
      </c>
      <c r="R50" s="198">
        <f>IF(E50=$Z$70,1,0)</f>
        <v>0</v>
      </c>
      <c r="S50" s="198">
        <f>IF(F50=$Z$70,1,0)</f>
        <v>0</v>
      </c>
      <c r="T50" s="198">
        <f>IF(H50=$Z$70,1,0)</f>
        <v>0</v>
      </c>
      <c r="V50" s="214" t="s">
        <v>46</v>
      </c>
      <c r="W50" s="215">
        <v>0</v>
      </c>
      <c r="Z50" s="32" t="s">
        <v>404</v>
      </c>
      <c r="AA50" s="217"/>
      <c r="AG50" s="32" t="s">
        <v>115</v>
      </c>
      <c r="AH50" s="212">
        <v>2890</v>
      </c>
    </row>
    <row r="51" spans="1:34" x14ac:dyDescent="0.25">
      <c r="A51" s="293"/>
      <c r="B51" s="306"/>
      <c r="C51" s="307">
        <f>IFERROR(IF(C50=$Z$70,"nutná kalkulace",IF(C50="",0,IF(C50=$Z$49,0,VLOOKUP($R44,$V$53:$X$67,3,0)))),"konfiguruj dveře")</f>
        <v>0</v>
      </c>
      <c r="D51" s="308"/>
      <c r="E51" s="91">
        <f>IFERROR(IF(E50=$Z$70,"nutná kalkulace",IF(E50="",0,IF(E50=$Z$49,0,VLOOKUP($R44,$V$53:$X$67,3,0)))),"konfiguruj dveře")</f>
        <v>0</v>
      </c>
      <c r="F51" s="307">
        <f>IFERROR(IF(F50=$Z$70,"nutná kalkulace",IF(F50="",0,IF(F50=$Z$49,0,VLOOKUP($R44,$V$53:$X$67,3,0)))),"konfiguruj dveře")</f>
        <v>0</v>
      </c>
      <c r="G51" s="308"/>
      <c r="H51" s="307">
        <f>IFERROR(IF(H50=$Z$70,"nutná kalkulace",IF(H50="",0,IF(H50=$Z$49,0,VLOOKUP($R44,$V$53:$X$67,3,0)))),"konfiguruj dveře")</f>
        <v>0</v>
      </c>
      <c r="I51" s="308"/>
      <c r="J51" s="318"/>
      <c r="K51" s="38" t="str">
        <f>IFERROR(IF(K50=0,"",K49+K50),"")</f>
        <v/>
      </c>
      <c r="L51" s="164"/>
      <c r="M51" s="167"/>
      <c r="N51" s="167"/>
      <c r="O51" s="169"/>
      <c r="P51" s="169"/>
      <c r="Z51" s="32" t="s">
        <v>406</v>
      </c>
      <c r="AA51" s="217"/>
      <c r="AG51" s="32" t="s">
        <v>116</v>
      </c>
      <c r="AH51" s="212">
        <v>4980</v>
      </c>
    </row>
    <row r="52" spans="1:34" ht="28.15" customHeight="1" thickBot="1" x14ac:dyDescent="0.3">
      <c r="A52" s="294"/>
      <c r="B52" s="49" t="s">
        <v>138</v>
      </c>
      <c r="C52" s="50"/>
      <c r="D52" s="310"/>
      <c r="E52" s="311"/>
      <c r="F52" s="311"/>
      <c r="G52" s="311"/>
      <c r="H52" s="311"/>
      <c r="I52" s="46" t="s">
        <v>136</v>
      </c>
      <c r="J52" s="47"/>
      <c r="K52" s="48" t="str">
        <f>IFERROR(IF(J52="","&lt;--  zadej množství",K51*J52),"")</f>
        <v>&lt;--  zadej množství</v>
      </c>
      <c r="L52" s="165"/>
      <c r="M52" s="168"/>
      <c r="N52" s="168"/>
      <c r="O52" s="162"/>
      <c r="P52" s="162"/>
      <c r="R52" s="32">
        <f>IF(ISNUMBER(K52),K52,0)</f>
        <v>0</v>
      </c>
      <c r="W52" s="217" t="s">
        <v>162</v>
      </c>
      <c r="X52" s="218">
        <v>800</v>
      </c>
      <c r="Z52" s="32" t="s">
        <v>405</v>
      </c>
      <c r="AA52" s="217"/>
      <c r="AG52" s="32" t="s">
        <v>117</v>
      </c>
      <c r="AH52" s="212">
        <v>4980</v>
      </c>
    </row>
    <row r="53" spans="1:34" ht="16.5" thickTop="1" thickBot="1" x14ac:dyDescent="0.3">
      <c r="A53" s="319" t="s">
        <v>207</v>
      </c>
      <c r="B53" s="295" t="s">
        <v>134</v>
      </c>
      <c r="C53" s="60" t="s">
        <v>56</v>
      </c>
      <c r="D53" s="35" t="s">
        <v>19</v>
      </c>
      <c r="E53" s="60" t="s">
        <v>55</v>
      </c>
      <c r="F53" s="60" t="s">
        <v>23</v>
      </c>
      <c r="G53" s="35" t="s">
        <v>21</v>
      </c>
      <c r="H53" s="35" t="s">
        <v>7</v>
      </c>
      <c r="I53" s="35" t="s">
        <v>22</v>
      </c>
      <c r="J53" s="35" t="s">
        <v>10</v>
      </c>
      <c r="K53" s="61" t="s">
        <v>128</v>
      </c>
      <c r="L53" s="166"/>
      <c r="M53" s="169"/>
      <c r="N53" s="169"/>
      <c r="O53" s="142"/>
      <c r="P53" s="142"/>
      <c r="R53" s="32" t="str">
        <f>CONCATENATE(G54,"_",H54)</f>
        <v>_</v>
      </c>
      <c r="T53" s="33"/>
      <c r="V53" s="216" t="s">
        <v>145</v>
      </c>
      <c r="W53" s="32" t="s">
        <v>160</v>
      </c>
      <c r="X53" s="32" t="s">
        <v>161</v>
      </c>
      <c r="Z53" s="32" t="s">
        <v>407</v>
      </c>
      <c r="AA53" s="217"/>
      <c r="AG53" s="32" t="s">
        <v>111</v>
      </c>
      <c r="AH53" s="212">
        <v>2490</v>
      </c>
    </row>
    <row r="54" spans="1:34" ht="16.899999999999999" customHeight="1" thickBot="1" x14ac:dyDescent="0.3">
      <c r="A54" s="293"/>
      <c r="B54" s="296"/>
      <c r="C54" s="44" t="s">
        <v>227</v>
      </c>
      <c r="D54" s="89"/>
      <c r="E54" s="93"/>
      <c r="F54" s="93"/>
      <c r="G54" s="89"/>
      <c r="H54" s="89"/>
      <c r="I54" s="93"/>
      <c r="J54" s="89"/>
      <c r="K54" s="178" t="str">
        <f>IFERROR(VLOOKUP(S54,$AG$29:$AH$56,2,0),"")</f>
        <v/>
      </c>
      <c r="L54" s="167"/>
      <c r="M54" s="162"/>
      <c r="N54" s="162"/>
      <c r="O54" s="163"/>
      <c r="P54" s="163"/>
      <c r="Q54" s="204"/>
      <c r="R54" s="205" t="str">
        <f>CONCATENATE(D54,F54)</f>
        <v/>
      </c>
      <c r="S54" s="205" t="str">
        <f>CONCATENATE(D54,G54)</f>
        <v/>
      </c>
      <c r="T54" s="33"/>
      <c r="V54" s="208" t="s">
        <v>146</v>
      </c>
      <c r="W54" s="32">
        <f>0.65*1.97</f>
        <v>1.2805</v>
      </c>
      <c r="X54" s="33">
        <f>ROUND(W54*$X$52,0)</f>
        <v>1024</v>
      </c>
      <c r="Z54" s="32" t="s">
        <v>408</v>
      </c>
      <c r="AA54" s="217"/>
      <c r="AG54" s="32" t="s">
        <v>112</v>
      </c>
      <c r="AH54" s="212">
        <v>2490</v>
      </c>
    </row>
    <row r="55" spans="1:34" ht="15.75" thickBot="1" x14ac:dyDescent="0.3">
      <c r="A55" s="293"/>
      <c r="B55" s="296"/>
      <c r="C55" s="62" t="s">
        <v>89</v>
      </c>
      <c r="D55" s="41" t="s">
        <v>32</v>
      </c>
      <c r="E55" s="92" t="s">
        <v>93</v>
      </c>
      <c r="F55" s="299" t="s">
        <v>95</v>
      </c>
      <c r="G55" s="299"/>
      <c r="H55" s="300" t="s">
        <v>96</v>
      </c>
      <c r="I55" s="301"/>
      <c r="J55" s="302"/>
      <c r="K55" s="64" t="s">
        <v>130</v>
      </c>
      <c r="L55" s="168"/>
      <c r="M55" s="142"/>
      <c r="N55" s="142"/>
      <c r="O55" s="164"/>
      <c r="P55" s="164"/>
      <c r="T55" s="33"/>
      <c r="V55" s="208" t="s">
        <v>147</v>
      </c>
      <c r="W55" s="32">
        <f>0.65*2.1</f>
        <v>1.3650000000000002</v>
      </c>
      <c r="X55" s="33">
        <f t="shared" ref="X55:X63" si="0">ROUND(W55*$X$52,0)</f>
        <v>1092</v>
      </c>
      <c r="Z55" s="32" t="s">
        <v>411</v>
      </c>
      <c r="AA55" s="217"/>
      <c r="AG55" s="32" t="s">
        <v>113</v>
      </c>
      <c r="AH55" s="212">
        <v>2490</v>
      </c>
    </row>
    <row r="56" spans="1:34" ht="16.899999999999999" customHeight="1" thickBot="1" x14ac:dyDescent="0.3">
      <c r="A56" s="293"/>
      <c r="B56" s="297"/>
      <c r="C56" s="93"/>
      <c r="D56" s="89"/>
      <c r="E56" s="93"/>
      <c r="F56" s="303"/>
      <c r="G56" s="303"/>
      <c r="H56" s="303"/>
      <c r="I56" s="303"/>
      <c r="J56" s="303"/>
      <c r="K56" s="65" t="s">
        <v>131</v>
      </c>
      <c r="L56" s="169"/>
      <c r="M56" s="163"/>
      <c r="N56" s="163"/>
      <c r="O56" s="165"/>
      <c r="P56" s="165"/>
      <c r="V56" s="208" t="s">
        <v>148</v>
      </c>
      <c r="W56" s="32">
        <f>0.75*1.97</f>
        <v>1.4775</v>
      </c>
      <c r="X56" s="33">
        <f t="shared" si="0"/>
        <v>1182</v>
      </c>
      <c r="Z56" s="32" t="s">
        <v>410</v>
      </c>
      <c r="AA56" s="217"/>
      <c r="AG56" s="32" t="s">
        <v>114</v>
      </c>
      <c r="AH56" s="212">
        <v>2490</v>
      </c>
    </row>
    <row r="57" spans="1:34" x14ac:dyDescent="0.25">
      <c r="A57" s="293"/>
      <c r="B57" s="298"/>
      <c r="C57" s="57">
        <f>IF(F54=$V$26,IF(C56=$Z$31,500,IF(C56=$Z$32,1000,0)),IF(C56=$Z$31,1000,IF(C56=$Z$32,2000,0)))</f>
        <v>0</v>
      </c>
      <c r="D57" s="57">
        <f>IF(D56=$AB$31,290,0)</f>
        <v>0</v>
      </c>
      <c r="E57" s="90">
        <f>IF(E56="",0,IF(F54=V68,IF(E56=$V$35,0,450),IF(E56=$V$35,0,900)))</f>
        <v>0</v>
      </c>
      <c r="F57" s="312">
        <f>IF(F54=$V$26,IF(F56=$V$44,150,IF(F56=$V$45,150,IF(F56=$V$46,90,0))),IF(F56=$V$44,300,IF(F56=$V$45,300,IF(F56=$V$46,180,0))))</f>
        <v>0</v>
      </c>
      <c r="G57" s="313"/>
      <c r="H57" s="314">
        <f>IFERROR(VLOOKUP(H56,$Z$35:$AA$45,2,0),0)</f>
        <v>0</v>
      </c>
      <c r="I57" s="315"/>
      <c r="J57" s="316"/>
      <c r="K57" s="36">
        <f>SUM(C57:J57)</f>
        <v>0</v>
      </c>
      <c r="L57" s="162"/>
      <c r="M57" s="164"/>
      <c r="N57" s="164"/>
      <c r="O57" s="166"/>
      <c r="P57" s="166"/>
      <c r="R57" s="33"/>
      <c r="S57" s="33"/>
      <c r="T57" s="33"/>
      <c r="V57" s="208" t="s">
        <v>149</v>
      </c>
      <c r="W57" s="32">
        <f>0.75*2.1</f>
        <v>1.5750000000000002</v>
      </c>
      <c r="X57" s="33">
        <f t="shared" si="0"/>
        <v>1260</v>
      </c>
      <c r="Z57" s="32" t="s">
        <v>409</v>
      </c>
      <c r="AA57" s="217"/>
    </row>
    <row r="58" spans="1:34" ht="26.25" thickBot="1" x14ac:dyDescent="0.3">
      <c r="A58" s="293"/>
      <c r="B58" s="304" t="s">
        <v>135</v>
      </c>
      <c r="C58" s="320" t="s">
        <v>163</v>
      </c>
      <c r="D58" s="320"/>
      <c r="E58" s="66" t="s">
        <v>124</v>
      </c>
      <c r="F58" s="321" t="s">
        <v>125</v>
      </c>
      <c r="G58" s="321"/>
      <c r="H58" s="321" t="s">
        <v>127</v>
      </c>
      <c r="I58" s="322"/>
      <c r="J58" s="67" t="s">
        <v>132</v>
      </c>
      <c r="K58" s="37" t="str">
        <f>IFERROR(K54+K57,"")</f>
        <v/>
      </c>
      <c r="L58" s="142"/>
      <c r="M58" s="165"/>
      <c r="N58" s="165"/>
      <c r="O58" s="167"/>
      <c r="P58" s="167"/>
      <c r="V58" s="208" t="s">
        <v>150</v>
      </c>
      <c r="W58" s="32">
        <f>0.85*1.97</f>
        <v>1.6744999999999999</v>
      </c>
      <c r="X58" s="33">
        <f t="shared" si="0"/>
        <v>1340</v>
      </c>
      <c r="Z58" s="32" t="s">
        <v>412</v>
      </c>
      <c r="AA58" s="217"/>
    </row>
    <row r="59" spans="1:34" ht="16.899999999999999" customHeight="1" thickBot="1" x14ac:dyDescent="0.3">
      <c r="A59" s="293"/>
      <c r="B59" s="305"/>
      <c r="C59" s="303"/>
      <c r="D59" s="303"/>
      <c r="E59" s="93"/>
      <c r="F59" s="303"/>
      <c r="G59" s="303"/>
      <c r="H59" s="309"/>
      <c r="I59" s="309"/>
      <c r="J59" s="317" t="s">
        <v>133</v>
      </c>
      <c r="K59" s="68">
        <f>IF(SUM(Q59:T59)&gt;0,"kalkulace",SUM(C60:I60))</f>
        <v>0</v>
      </c>
      <c r="L59" s="163"/>
      <c r="M59" s="166"/>
      <c r="N59" s="166"/>
      <c r="O59" s="168"/>
      <c r="P59" s="168"/>
      <c r="Q59" s="198">
        <f>IF(C59=$Z$70,1,0)</f>
        <v>0</v>
      </c>
      <c r="R59" s="198">
        <f>IF(E59=$Z$70,1,0)</f>
        <v>0</v>
      </c>
      <c r="S59" s="198">
        <f>IF(F59=$Z$70,1,0)</f>
        <v>0</v>
      </c>
      <c r="T59" s="198">
        <f>IF(H59=$Z$70,1,0)</f>
        <v>0</v>
      </c>
      <c r="V59" s="208" t="s">
        <v>151</v>
      </c>
      <c r="W59" s="32">
        <f>0.85*2.1</f>
        <v>1.7849999999999999</v>
      </c>
      <c r="X59" s="33">
        <f t="shared" si="0"/>
        <v>1428</v>
      </c>
      <c r="Z59" s="32" t="s">
        <v>413</v>
      </c>
    </row>
    <row r="60" spans="1:34" x14ac:dyDescent="0.25">
      <c r="A60" s="293"/>
      <c r="B60" s="306"/>
      <c r="C60" s="307">
        <f>IFERROR(IF(C59=$Z$70,"nutná kalkulace",IF(C59="",0,IF(C59=$Z$49,0,VLOOKUP($R53,$V$53:$X$67,3,0)))),"konfiguruj dveře")</f>
        <v>0</v>
      </c>
      <c r="D60" s="308"/>
      <c r="E60" s="91">
        <f>IFERROR(IF(E59=$Z$70,"nutná kalkulace",IF(E59="",0,IF(E59=$Z$49,0,VLOOKUP($R53,$V$53:$X$67,3,0)))),"konfiguruj dveře")</f>
        <v>0</v>
      </c>
      <c r="F60" s="307">
        <f>IFERROR(IF(F59=$Z$70,"nutná kalkulace",IF(F59="",0,IF(F59=$Z$49,0,VLOOKUP($R53,$V$53:$X$67,3,0)))),"konfiguruj dveře")</f>
        <v>0</v>
      </c>
      <c r="G60" s="308"/>
      <c r="H60" s="307">
        <f>IFERROR(IF(H59=$Z$70,"nutná kalkulace",IF(H59="",0,IF(H59=$Z$49,0,VLOOKUP($R53,$V$53:$X$67,3,0)))),"konfiguruj dveře")</f>
        <v>0</v>
      </c>
      <c r="I60" s="308"/>
      <c r="J60" s="318"/>
      <c r="K60" s="38" t="str">
        <f>IFERROR(IF(K59=0,"",K58+K59),"")</f>
        <v/>
      </c>
      <c r="L60" s="164"/>
      <c r="M60" s="167"/>
      <c r="N60" s="167"/>
      <c r="O60" s="169"/>
      <c r="P60" s="169"/>
      <c r="V60" s="208" t="s">
        <v>152</v>
      </c>
      <c r="W60" s="32">
        <f>0.95*1.97</f>
        <v>1.8714999999999999</v>
      </c>
      <c r="X60" s="33">
        <f t="shared" si="0"/>
        <v>1497</v>
      </c>
      <c r="Z60" s="32" t="s">
        <v>397</v>
      </c>
    </row>
    <row r="61" spans="1:34" ht="28.15" customHeight="1" thickBot="1" x14ac:dyDescent="0.3">
      <c r="A61" s="294"/>
      <c r="B61" s="49" t="s">
        <v>138</v>
      </c>
      <c r="C61" s="50"/>
      <c r="D61" s="310"/>
      <c r="E61" s="311"/>
      <c r="F61" s="311"/>
      <c r="G61" s="311"/>
      <c r="H61" s="311"/>
      <c r="I61" s="46" t="s">
        <v>136</v>
      </c>
      <c r="J61" s="47"/>
      <c r="K61" s="48" t="str">
        <f>IFERROR(IF(J61="","&lt;--  zadej množství",K60*J61),"")</f>
        <v>&lt;--  zadej množství</v>
      </c>
      <c r="L61" s="165"/>
      <c r="M61" s="168"/>
      <c r="N61" s="168"/>
      <c r="O61" s="162"/>
      <c r="P61" s="162"/>
      <c r="R61" s="32">
        <f>IF(ISNUMBER(K61),K61,0)</f>
        <v>0</v>
      </c>
      <c r="V61" s="208" t="s">
        <v>153</v>
      </c>
      <c r="W61" s="32">
        <f>0.95*2.1</f>
        <v>1.9949999999999999</v>
      </c>
      <c r="X61" s="33">
        <f t="shared" si="0"/>
        <v>1596</v>
      </c>
      <c r="Z61" s="32" t="s">
        <v>222</v>
      </c>
    </row>
    <row r="62" spans="1:34" ht="16.5" thickTop="1" thickBot="1" x14ac:dyDescent="0.3">
      <c r="A62" s="319" t="s">
        <v>208</v>
      </c>
      <c r="B62" s="295" t="s">
        <v>134</v>
      </c>
      <c r="C62" s="60" t="s">
        <v>56</v>
      </c>
      <c r="D62" s="35" t="s">
        <v>19</v>
      </c>
      <c r="E62" s="60" t="s">
        <v>55</v>
      </c>
      <c r="F62" s="60" t="s">
        <v>23</v>
      </c>
      <c r="G62" s="35" t="s">
        <v>21</v>
      </c>
      <c r="H62" s="35" t="s">
        <v>7</v>
      </c>
      <c r="I62" s="35" t="s">
        <v>22</v>
      </c>
      <c r="J62" s="35" t="s">
        <v>10</v>
      </c>
      <c r="K62" s="61" t="s">
        <v>128</v>
      </c>
      <c r="L62" s="166"/>
      <c r="M62" s="169"/>
      <c r="N62" s="169"/>
      <c r="O62" s="142"/>
      <c r="P62" s="142"/>
      <c r="R62" s="32" t="str">
        <f>CONCATENATE(G63,"_",H63)</f>
        <v>_</v>
      </c>
      <c r="T62" s="33"/>
      <c r="V62" s="208" t="s">
        <v>154</v>
      </c>
      <c r="W62" s="32">
        <f>1.15*1.97</f>
        <v>2.2654999999999998</v>
      </c>
      <c r="X62" s="33">
        <f t="shared" si="0"/>
        <v>1812</v>
      </c>
      <c r="Z62" s="32" t="s">
        <v>223</v>
      </c>
    </row>
    <row r="63" spans="1:34" ht="16.899999999999999" customHeight="1" thickBot="1" x14ac:dyDescent="0.3">
      <c r="A63" s="293"/>
      <c r="B63" s="296"/>
      <c r="C63" s="44" t="s">
        <v>227</v>
      </c>
      <c r="D63" s="89"/>
      <c r="E63" s="93"/>
      <c r="F63" s="93"/>
      <c r="G63" s="89"/>
      <c r="H63" s="89"/>
      <c r="I63" s="93"/>
      <c r="J63" s="89"/>
      <c r="K63" s="178" t="str">
        <f>IFERROR(VLOOKUP(S63,$AG$29:$AH$56,2,0),"")</f>
        <v/>
      </c>
      <c r="L63" s="167"/>
      <c r="M63" s="162"/>
      <c r="N63" s="162"/>
      <c r="O63" s="163"/>
      <c r="P63" s="163"/>
      <c r="Q63" s="204"/>
      <c r="R63" s="205" t="str">
        <f>CONCATENATE(D63,F63)</f>
        <v/>
      </c>
      <c r="S63" s="205" t="str">
        <f>CONCATENATE(D63,G63)</f>
        <v/>
      </c>
      <c r="T63" s="33"/>
      <c r="V63" s="208" t="s">
        <v>155</v>
      </c>
      <c r="W63" s="32">
        <f>1.15*2.1</f>
        <v>2.415</v>
      </c>
      <c r="X63" s="33">
        <f t="shared" si="0"/>
        <v>1932</v>
      </c>
      <c r="Z63" s="32" t="s">
        <v>399</v>
      </c>
    </row>
    <row r="64" spans="1:34" ht="15.6" customHeight="1" thickBot="1" x14ac:dyDescent="0.3">
      <c r="A64" s="293"/>
      <c r="B64" s="296"/>
      <c r="C64" s="62" t="s">
        <v>89</v>
      </c>
      <c r="D64" s="41" t="s">
        <v>32</v>
      </c>
      <c r="E64" s="92" t="s">
        <v>93</v>
      </c>
      <c r="F64" s="299" t="s">
        <v>95</v>
      </c>
      <c r="G64" s="299"/>
      <c r="H64" s="300" t="s">
        <v>96</v>
      </c>
      <c r="I64" s="301"/>
      <c r="J64" s="302"/>
      <c r="K64" s="64" t="s">
        <v>130</v>
      </c>
      <c r="L64" s="168"/>
      <c r="M64" s="142"/>
      <c r="N64" s="142"/>
      <c r="O64" s="164"/>
      <c r="P64" s="164"/>
      <c r="T64" s="33"/>
      <c r="V64" s="199" t="s">
        <v>156</v>
      </c>
      <c r="W64" s="32">
        <f>1.25*1.97</f>
        <v>2.4624999999999999</v>
      </c>
      <c r="X64" s="33">
        <f>(ROUND((W64*$X$52)/2,0))</f>
        <v>985</v>
      </c>
      <c r="Z64" s="32" t="s">
        <v>398</v>
      </c>
    </row>
    <row r="65" spans="1:26" ht="16.899999999999999" customHeight="1" thickBot="1" x14ac:dyDescent="0.3">
      <c r="A65" s="293"/>
      <c r="B65" s="297"/>
      <c r="C65" s="93"/>
      <c r="D65" s="89"/>
      <c r="E65" s="93"/>
      <c r="F65" s="303"/>
      <c r="G65" s="303"/>
      <c r="H65" s="303"/>
      <c r="I65" s="303"/>
      <c r="J65" s="303"/>
      <c r="K65" s="65" t="s">
        <v>131</v>
      </c>
      <c r="L65" s="169"/>
      <c r="M65" s="163"/>
      <c r="N65" s="163"/>
      <c r="O65" s="165"/>
      <c r="P65" s="165"/>
      <c r="V65" s="199" t="s">
        <v>157</v>
      </c>
      <c r="W65" s="32">
        <f>1.25*2.1</f>
        <v>2.625</v>
      </c>
      <c r="X65" s="33">
        <f t="shared" ref="X65:X67" si="1">(ROUND((W65*$X$52)/2,0))</f>
        <v>1050</v>
      </c>
      <c r="Z65" s="32" t="s">
        <v>225</v>
      </c>
    </row>
    <row r="66" spans="1:26" x14ac:dyDescent="0.25">
      <c r="A66" s="293"/>
      <c r="B66" s="298"/>
      <c r="C66" s="57">
        <f>IF(F63=$V$26,IF(C65=$Z$31,500,IF(C65=$Z$32,1000,0)),IF(C65=$Z$31,1000,IF(C65=$Z$32,2000,0)))</f>
        <v>0</v>
      </c>
      <c r="D66" s="57">
        <f>IF(D65=$AB$31,290,0)</f>
        <v>0</v>
      </c>
      <c r="E66" s="90">
        <f>IF(E65="",0,IF(F63=V77,IF(E65=$V$35,0,450),IF(E65=$V$35,0,900)))</f>
        <v>0</v>
      </c>
      <c r="F66" s="312">
        <f>IF(F63=$V$26,IF(F65=$V$44,150,IF(F65=$V$45,150,IF(F65=$V$46,90,0))),IF(F65=$V$44,300,IF(F65=$V$45,300,IF(F65=$V$46,180,0))))</f>
        <v>0</v>
      </c>
      <c r="G66" s="313"/>
      <c r="H66" s="314">
        <f>IFERROR(VLOOKUP(H65,$Z$35:$AA$45,2,0),0)</f>
        <v>0</v>
      </c>
      <c r="I66" s="315"/>
      <c r="J66" s="316"/>
      <c r="K66" s="36">
        <f>SUM(C66:J66)</f>
        <v>0</v>
      </c>
      <c r="L66" s="162"/>
      <c r="M66" s="164"/>
      <c r="N66" s="164"/>
      <c r="O66" s="166"/>
      <c r="P66" s="166"/>
      <c r="R66" s="33"/>
      <c r="S66" s="33"/>
      <c r="T66" s="33"/>
      <c r="V66" s="199" t="s">
        <v>158</v>
      </c>
      <c r="W66" s="32">
        <f>1.45*1.97</f>
        <v>2.8565</v>
      </c>
      <c r="X66" s="33">
        <f t="shared" si="1"/>
        <v>1143</v>
      </c>
      <c r="Z66" s="32" t="s">
        <v>400</v>
      </c>
    </row>
    <row r="67" spans="1:26" ht="26.25" thickBot="1" x14ac:dyDescent="0.3">
      <c r="A67" s="293"/>
      <c r="B67" s="304" t="s">
        <v>135</v>
      </c>
      <c r="C67" s="320" t="s">
        <v>163</v>
      </c>
      <c r="D67" s="320"/>
      <c r="E67" s="66" t="s">
        <v>124</v>
      </c>
      <c r="F67" s="321" t="s">
        <v>125</v>
      </c>
      <c r="G67" s="321"/>
      <c r="H67" s="321" t="s">
        <v>127</v>
      </c>
      <c r="I67" s="322"/>
      <c r="J67" s="67" t="s">
        <v>132</v>
      </c>
      <c r="K67" s="37" t="str">
        <f>IFERROR(K63+K66,"")</f>
        <v/>
      </c>
      <c r="L67" s="142"/>
      <c r="M67" s="165"/>
      <c r="N67" s="165"/>
      <c r="O67" s="167"/>
      <c r="P67" s="167"/>
      <c r="V67" s="199" t="s">
        <v>159</v>
      </c>
      <c r="W67" s="32">
        <f>1.45*2.1</f>
        <v>3.0449999999999999</v>
      </c>
      <c r="X67" s="33">
        <f t="shared" si="1"/>
        <v>1218</v>
      </c>
      <c r="Z67" s="32" t="s">
        <v>402</v>
      </c>
    </row>
    <row r="68" spans="1:26" ht="16.899999999999999" customHeight="1" thickBot="1" x14ac:dyDescent="0.3">
      <c r="A68" s="293"/>
      <c r="B68" s="305"/>
      <c r="C68" s="303"/>
      <c r="D68" s="303"/>
      <c r="E68" s="93"/>
      <c r="F68" s="303"/>
      <c r="G68" s="303"/>
      <c r="H68" s="309"/>
      <c r="I68" s="309"/>
      <c r="J68" s="317" t="s">
        <v>133</v>
      </c>
      <c r="K68" s="68">
        <f>IF(SUM(Q68:T68)&gt;0,"kalkulace",SUM(C69:I69))</f>
        <v>0</v>
      </c>
      <c r="L68" s="163"/>
      <c r="M68" s="166"/>
      <c r="N68" s="166"/>
      <c r="O68" s="168"/>
      <c r="P68" s="168"/>
      <c r="Q68" s="198">
        <f>IF(C68=$Z$70,1,0)</f>
        <v>0</v>
      </c>
      <c r="R68" s="198">
        <f>IF(E68=$Z$70,1,0)</f>
        <v>0</v>
      </c>
      <c r="S68" s="198">
        <f>IF(F68=$Z$70,1,0)</f>
        <v>0</v>
      </c>
      <c r="T68" s="198">
        <f>IF(H68=$Z$70,1,0)</f>
        <v>0</v>
      </c>
      <c r="Z68" s="32" t="s">
        <v>401</v>
      </c>
    </row>
    <row r="69" spans="1:26" x14ac:dyDescent="0.25">
      <c r="A69" s="293"/>
      <c r="B69" s="306"/>
      <c r="C69" s="307">
        <f>IFERROR(IF(C68=$Z$70,"nutná kalkulace",IF(C68="",0,IF(C68=$Z$49,0,VLOOKUP($R62,$V$53:$X$67,3,0)))),"konfiguruj dveře")</f>
        <v>0</v>
      </c>
      <c r="D69" s="308"/>
      <c r="E69" s="91">
        <f>IFERROR(IF(E68=$Z$70,"nutná kalkulace",IF(E68="",0,IF(E68=$Z$49,0,VLOOKUP($R62,$V$53:$X$67,3,0)))),"konfiguruj dveře")</f>
        <v>0</v>
      </c>
      <c r="F69" s="307">
        <f>IFERROR(IF(F68=$Z$70,"nutná kalkulace",IF(F68="",0,IF(F68=$Z$49,0,VLOOKUP($R62,$V$53:$X$67,3,0)))),"konfiguruj dveře")</f>
        <v>0</v>
      </c>
      <c r="G69" s="308"/>
      <c r="H69" s="307">
        <f>IFERROR(IF(H68=$Z$70,"nutná kalkulace",IF(H68="",0,IF(H68=$Z$49,0,VLOOKUP($R62,$V$53:$X$67,3,0)))),"konfiguruj dveře")</f>
        <v>0</v>
      </c>
      <c r="I69" s="308"/>
      <c r="J69" s="318"/>
      <c r="K69" s="38" t="str">
        <f>IFERROR(IF(K68=0,"",K67+K68),"")</f>
        <v/>
      </c>
      <c r="L69" s="164"/>
      <c r="M69" s="167"/>
      <c r="N69" s="167"/>
      <c r="O69" s="169"/>
      <c r="P69" s="169"/>
      <c r="Z69" s="32" t="s">
        <v>403</v>
      </c>
    </row>
    <row r="70" spans="1:26" ht="28.15" customHeight="1" thickBot="1" x14ac:dyDescent="0.3">
      <c r="A70" s="294"/>
      <c r="B70" s="49" t="s">
        <v>138</v>
      </c>
      <c r="C70" s="50"/>
      <c r="D70" s="310"/>
      <c r="E70" s="311"/>
      <c r="F70" s="311"/>
      <c r="G70" s="311"/>
      <c r="H70" s="311"/>
      <c r="I70" s="46" t="s">
        <v>136</v>
      </c>
      <c r="J70" s="47"/>
      <c r="K70" s="48" t="str">
        <f>IFERROR(IF(J70="","&lt;--  zadej množství",K69*J70),"")</f>
        <v>&lt;--  zadej množství</v>
      </c>
      <c r="L70" s="165"/>
      <c r="M70" s="168"/>
      <c r="N70" s="168"/>
      <c r="O70" s="162"/>
      <c r="P70" s="162"/>
      <c r="R70" s="32">
        <f>IF(ISNUMBER(K70),K70,0)</f>
        <v>0</v>
      </c>
      <c r="Z70" s="32" t="s">
        <v>224</v>
      </c>
    </row>
    <row r="71" spans="1:26" ht="16.5" thickTop="1" thickBot="1" x14ac:dyDescent="0.3">
      <c r="A71" s="319" t="s">
        <v>209</v>
      </c>
      <c r="B71" s="295" t="s">
        <v>134</v>
      </c>
      <c r="C71" s="60" t="s">
        <v>56</v>
      </c>
      <c r="D71" s="35" t="s">
        <v>19</v>
      </c>
      <c r="E71" s="60" t="s">
        <v>55</v>
      </c>
      <c r="F71" s="60" t="s">
        <v>23</v>
      </c>
      <c r="G71" s="35" t="s">
        <v>21</v>
      </c>
      <c r="H71" s="35" t="s">
        <v>7</v>
      </c>
      <c r="I71" s="35" t="s">
        <v>22</v>
      </c>
      <c r="J71" s="35" t="s">
        <v>10</v>
      </c>
      <c r="K71" s="61" t="s">
        <v>128</v>
      </c>
      <c r="L71" s="166"/>
      <c r="M71" s="169"/>
      <c r="N71" s="169"/>
      <c r="O71" s="142"/>
      <c r="P71" s="142"/>
      <c r="R71" s="32" t="str">
        <f>CONCATENATE(G72,"_",H72)</f>
        <v>_</v>
      </c>
      <c r="T71" s="33"/>
    </row>
    <row r="72" spans="1:26" ht="16.899999999999999" customHeight="1" thickBot="1" x14ac:dyDescent="0.3">
      <c r="A72" s="293"/>
      <c r="B72" s="296"/>
      <c r="C72" s="44" t="s">
        <v>227</v>
      </c>
      <c r="D72" s="89"/>
      <c r="E72" s="93"/>
      <c r="F72" s="93"/>
      <c r="G72" s="89"/>
      <c r="H72" s="89"/>
      <c r="I72" s="93"/>
      <c r="J72" s="89"/>
      <c r="K72" s="178" t="str">
        <f>IFERROR(VLOOKUP(S72,$AG$29:$AH$56,2,0),"")</f>
        <v/>
      </c>
      <c r="L72" s="167"/>
      <c r="M72" s="162"/>
      <c r="N72" s="162"/>
      <c r="O72" s="163"/>
      <c r="P72" s="163"/>
      <c r="Q72" s="204"/>
      <c r="R72" s="205" t="str">
        <f>CONCATENATE(D72,F72)</f>
        <v/>
      </c>
      <c r="S72" s="205" t="str">
        <f>CONCATENATE(D72,G72)</f>
        <v/>
      </c>
      <c r="T72" s="33"/>
    </row>
    <row r="73" spans="1:26" ht="15.75" thickBot="1" x14ac:dyDescent="0.3">
      <c r="A73" s="293"/>
      <c r="B73" s="296"/>
      <c r="C73" s="62" t="s">
        <v>89</v>
      </c>
      <c r="D73" s="41" t="s">
        <v>32</v>
      </c>
      <c r="E73" s="92" t="s">
        <v>93</v>
      </c>
      <c r="F73" s="299" t="s">
        <v>95</v>
      </c>
      <c r="G73" s="299"/>
      <c r="H73" s="300" t="s">
        <v>96</v>
      </c>
      <c r="I73" s="301"/>
      <c r="J73" s="302"/>
      <c r="K73" s="64" t="s">
        <v>130</v>
      </c>
      <c r="L73" s="168"/>
      <c r="M73" s="142"/>
      <c r="N73" s="142"/>
      <c r="O73" s="164"/>
      <c r="P73" s="164"/>
      <c r="T73" s="33"/>
    </row>
    <row r="74" spans="1:26" ht="16.5" customHeight="1" thickBot="1" x14ac:dyDescent="0.3">
      <c r="A74" s="293"/>
      <c r="B74" s="297"/>
      <c r="C74" s="93"/>
      <c r="D74" s="89"/>
      <c r="E74" s="93"/>
      <c r="F74" s="303"/>
      <c r="G74" s="303"/>
      <c r="H74" s="303"/>
      <c r="I74" s="303"/>
      <c r="J74" s="303"/>
      <c r="K74" s="65" t="s">
        <v>131</v>
      </c>
      <c r="L74" s="169"/>
      <c r="M74" s="163"/>
      <c r="N74" s="163"/>
      <c r="O74" s="165"/>
      <c r="P74" s="165"/>
    </row>
    <row r="75" spans="1:26" x14ac:dyDescent="0.25">
      <c r="A75" s="293"/>
      <c r="B75" s="298"/>
      <c r="C75" s="57">
        <f>IF(F72=$V$26,IF(C74=$Z$31,500,IF(C74=$Z$32,1000,0)),IF(C74=$Z$31,1000,IF(C74=$Z$32,2000,0)))</f>
        <v>0</v>
      </c>
      <c r="D75" s="57">
        <f>IF(D74=$AB$31,290,0)</f>
        <v>0</v>
      </c>
      <c r="E75" s="90">
        <f>IF(E74="",0,IF(F72=V86,IF(E74=$V$35,0,450),IF(E74=$V$35,0,900)))</f>
        <v>0</v>
      </c>
      <c r="F75" s="312">
        <f>IF(F72=$V$26,IF(F74=$V$44,150,IF(F74=$V$45,150,IF(F74=$V$46,90,0))),IF(F74=$V$44,300,IF(F74=$V$45,300,IF(F74=$V$46,180,0))))</f>
        <v>0</v>
      </c>
      <c r="G75" s="313"/>
      <c r="H75" s="314">
        <f>IFERROR(VLOOKUP(H74,$Z$35:$AA$45,2,0),0)</f>
        <v>0</v>
      </c>
      <c r="I75" s="315"/>
      <c r="J75" s="316"/>
      <c r="K75" s="36">
        <f>SUM(C75:J75)</f>
        <v>0</v>
      </c>
      <c r="L75" s="162"/>
      <c r="M75" s="164"/>
      <c r="N75" s="164"/>
      <c r="O75" s="166"/>
      <c r="P75" s="166"/>
      <c r="R75" s="33"/>
      <c r="S75" s="33"/>
      <c r="T75" s="33"/>
    </row>
    <row r="76" spans="1:26" ht="26.25" thickBot="1" x14ac:dyDescent="0.3">
      <c r="A76" s="293"/>
      <c r="B76" s="304" t="s">
        <v>135</v>
      </c>
      <c r="C76" s="320" t="s">
        <v>163</v>
      </c>
      <c r="D76" s="320"/>
      <c r="E76" s="66" t="s">
        <v>124</v>
      </c>
      <c r="F76" s="321" t="s">
        <v>125</v>
      </c>
      <c r="G76" s="321"/>
      <c r="H76" s="321" t="s">
        <v>127</v>
      </c>
      <c r="I76" s="322"/>
      <c r="J76" s="67" t="s">
        <v>132</v>
      </c>
      <c r="K76" s="37" t="str">
        <f>IFERROR(K72+K75,"")</f>
        <v/>
      </c>
      <c r="L76" s="142"/>
      <c r="M76" s="165"/>
      <c r="N76" s="165"/>
      <c r="O76" s="167"/>
      <c r="P76" s="167"/>
    </row>
    <row r="77" spans="1:26" ht="16.899999999999999" customHeight="1" thickBot="1" x14ac:dyDescent="0.3">
      <c r="A77" s="293"/>
      <c r="B77" s="305"/>
      <c r="C77" s="303"/>
      <c r="D77" s="303"/>
      <c r="E77" s="93"/>
      <c r="F77" s="303"/>
      <c r="G77" s="303"/>
      <c r="H77" s="309"/>
      <c r="I77" s="309"/>
      <c r="J77" s="317" t="s">
        <v>133</v>
      </c>
      <c r="K77" s="68">
        <f>IF(SUM(Q77:T77)&gt;0,"kalkulace",SUM(C78:I78))</f>
        <v>0</v>
      </c>
      <c r="L77" s="163"/>
      <c r="M77" s="166"/>
      <c r="N77" s="166"/>
      <c r="O77" s="168"/>
      <c r="P77" s="168"/>
      <c r="Q77" s="198">
        <f>IF(C77=$Z$70,1,0)</f>
        <v>0</v>
      </c>
      <c r="R77" s="198">
        <f>IF(E77=$Z$70,1,0)</f>
        <v>0</v>
      </c>
      <c r="S77" s="198">
        <f>IF(F77=$Z$70,1,0)</f>
        <v>0</v>
      </c>
      <c r="T77" s="198">
        <f>IF(H77=$Z$70,1,0)</f>
        <v>0</v>
      </c>
    </row>
    <row r="78" spans="1:26" x14ac:dyDescent="0.25">
      <c r="A78" s="293"/>
      <c r="B78" s="306"/>
      <c r="C78" s="307">
        <f>IFERROR(IF(C77=$Z$70,"nutná kalkulace",IF(C77="",0,IF(C77=$Z$49,0,VLOOKUP($R71,$V$53:$X$67,3,0)))),"konfiguruj dveře")</f>
        <v>0</v>
      </c>
      <c r="D78" s="308"/>
      <c r="E78" s="91">
        <f>IFERROR(IF(E77=$Z$70,"nutná kalkulace",IF(E77="",0,IF(E77=$Z$49,0,VLOOKUP($R71,$V$53:$X$67,3,0)))),"konfiguruj dveře")</f>
        <v>0</v>
      </c>
      <c r="F78" s="307">
        <f>IFERROR(IF(F77=$Z$70,"nutná kalkulace",IF(F77="",0,IF(F77=$Z$49,0,VLOOKUP($R71,$V$53:$X$67,3,0)))),"konfiguruj dveře")</f>
        <v>0</v>
      </c>
      <c r="G78" s="308"/>
      <c r="H78" s="307">
        <f>IFERROR(IF(H77=$Z$70,"nutná kalkulace",IF(H77="",0,IF(H77=$Z$49,0,VLOOKUP($R71,$V$53:$X$67,3,0)))),"konfiguruj dveře")</f>
        <v>0</v>
      </c>
      <c r="I78" s="308"/>
      <c r="J78" s="318"/>
      <c r="K78" s="38" t="str">
        <f>IFERROR(IF(K77=0,"",K76+K77),"")</f>
        <v/>
      </c>
      <c r="L78" s="164"/>
      <c r="M78" s="167"/>
      <c r="N78" s="167"/>
      <c r="O78" s="169"/>
      <c r="P78" s="169"/>
    </row>
    <row r="79" spans="1:26" ht="28.15" customHeight="1" thickBot="1" x14ac:dyDescent="0.3">
      <c r="A79" s="294"/>
      <c r="B79" s="49" t="s">
        <v>138</v>
      </c>
      <c r="C79" s="50"/>
      <c r="D79" s="310"/>
      <c r="E79" s="311"/>
      <c r="F79" s="311"/>
      <c r="G79" s="311"/>
      <c r="H79" s="311"/>
      <c r="I79" s="46" t="s">
        <v>136</v>
      </c>
      <c r="J79" s="47"/>
      <c r="K79" s="48" t="str">
        <f>IFERROR(IF(J79="","&lt;--  zadej množství",K78*J79),"")</f>
        <v>&lt;--  zadej množství</v>
      </c>
      <c r="L79" s="165"/>
      <c r="M79" s="168"/>
      <c r="N79" s="168"/>
      <c r="O79" s="162"/>
      <c r="P79" s="162"/>
      <c r="R79" s="32">
        <f>IF(ISNUMBER(K79),K79,0)</f>
        <v>0</v>
      </c>
    </row>
    <row r="80" spans="1:26" ht="18.75" customHeight="1" thickTop="1" thickBot="1" x14ac:dyDescent="0.3">
      <c r="A80" s="337" t="s">
        <v>213</v>
      </c>
      <c r="B80" s="337"/>
      <c r="C80" s="337"/>
      <c r="D80" s="337"/>
      <c r="E80" s="338"/>
      <c r="F80" s="341" t="s">
        <v>211</v>
      </c>
      <c r="G80" s="342"/>
      <c r="H80" s="342"/>
      <c r="I80" s="118" t="s">
        <v>136</v>
      </c>
      <c r="J80" s="107">
        <f>J61+J70+J79+J52</f>
        <v>0</v>
      </c>
      <c r="K80" s="108">
        <f>R79+R70+R61+R52</f>
        <v>0</v>
      </c>
      <c r="L80" s="166"/>
      <c r="M80" s="169"/>
      <c r="N80" s="169"/>
      <c r="O80" s="142"/>
      <c r="P80" s="142"/>
    </row>
    <row r="81" spans="1:39" ht="18.75" customHeight="1" thickBot="1" x14ac:dyDescent="0.3">
      <c r="A81" s="339"/>
      <c r="B81" s="339"/>
      <c r="C81" s="339"/>
      <c r="D81" s="339"/>
      <c r="E81" s="340"/>
      <c r="F81" s="287" t="s">
        <v>212</v>
      </c>
      <c r="G81" s="288"/>
      <c r="H81" s="288"/>
      <c r="I81" s="289" t="s">
        <v>136</v>
      </c>
      <c r="J81" s="290">
        <f>J80+J39</f>
        <v>0</v>
      </c>
      <c r="K81" s="291">
        <f>K80+K39</f>
        <v>0</v>
      </c>
      <c r="L81" s="167"/>
      <c r="M81" s="162"/>
      <c r="N81" s="162"/>
      <c r="O81" s="163"/>
      <c r="P81" s="163"/>
    </row>
    <row r="82" spans="1:39" x14ac:dyDescent="0.25">
      <c r="F82" s="106"/>
      <c r="G82" s="106"/>
      <c r="H82" s="106"/>
      <c r="I82" s="106"/>
      <c r="J82" s="106"/>
      <c r="K82" s="249" t="s">
        <v>202</v>
      </c>
      <c r="L82" s="168"/>
      <c r="M82" s="142"/>
      <c r="N82" s="142"/>
      <c r="O82" s="165"/>
      <c r="P82" s="165"/>
    </row>
    <row r="83" spans="1:39" s="254" customFormat="1" x14ac:dyDescent="0.25">
      <c r="A83" s="283" t="s">
        <v>221</v>
      </c>
      <c r="C83" s="255"/>
      <c r="D83" s="255"/>
      <c r="E83" s="255"/>
      <c r="F83" s="255"/>
      <c r="G83" s="255"/>
      <c r="H83" s="255"/>
      <c r="I83" s="255"/>
      <c r="J83" s="255"/>
      <c r="K83" s="255"/>
      <c r="L83" s="256"/>
      <c r="M83" s="257"/>
      <c r="N83" s="257"/>
      <c r="O83" s="258"/>
      <c r="P83" s="258"/>
      <c r="Q83" s="259"/>
      <c r="R83" s="260"/>
      <c r="S83" s="260"/>
      <c r="T83" s="260"/>
      <c r="U83" s="260"/>
      <c r="V83" s="260"/>
      <c r="W83" s="260"/>
      <c r="X83" s="260"/>
      <c r="Y83" s="260"/>
      <c r="Z83" s="260"/>
      <c r="AA83" s="260"/>
      <c r="AB83" s="260"/>
      <c r="AC83" s="260"/>
      <c r="AD83" s="260"/>
      <c r="AE83" s="260"/>
      <c r="AF83" s="260"/>
      <c r="AG83" s="260"/>
      <c r="AH83" s="260"/>
      <c r="AI83" s="260"/>
      <c r="AJ83" s="260"/>
      <c r="AK83" s="260"/>
      <c r="AL83" s="260"/>
    </row>
    <row r="84" spans="1:39" s="4" customFormat="1" x14ac:dyDescent="0.25">
      <c r="A84" s="276" t="s">
        <v>416</v>
      </c>
      <c r="C84" s="267"/>
      <c r="D84" s="268"/>
      <c r="E84" s="267"/>
      <c r="F84" s="267"/>
      <c r="G84" s="268"/>
      <c r="H84" s="268"/>
      <c r="I84" s="267"/>
      <c r="K84" s="281" t="s">
        <v>417</v>
      </c>
      <c r="L84" s="269"/>
      <c r="M84" s="270"/>
      <c r="N84" s="270"/>
      <c r="O84" s="270"/>
      <c r="P84" s="270"/>
      <c r="Q84" s="271"/>
      <c r="R84" s="271"/>
      <c r="S84" s="271"/>
      <c r="T84" s="271"/>
      <c r="U84" s="271"/>
      <c r="V84" s="271"/>
      <c r="W84" s="271"/>
      <c r="X84" s="271"/>
      <c r="Y84" s="271"/>
      <c r="Z84" s="271"/>
      <c r="AA84" s="272"/>
      <c r="AB84" s="271"/>
      <c r="AC84" s="271"/>
      <c r="AD84" s="271"/>
      <c r="AE84" s="271"/>
      <c r="AF84" s="271"/>
      <c r="AG84" s="271"/>
      <c r="AH84" s="271"/>
      <c r="AI84" s="271"/>
      <c r="AJ84" s="271"/>
      <c r="AK84" s="271"/>
      <c r="AL84" s="271"/>
    </row>
    <row r="85" spans="1:39" s="273" customFormat="1" x14ac:dyDescent="0.25">
      <c r="A85" s="277" t="s">
        <v>414</v>
      </c>
      <c r="I85" s="278" t="s">
        <v>415</v>
      </c>
      <c r="L85" s="274"/>
      <c r="M85" s="274"/>
      <c r="N85" s="274"/>
      <c r="O85" s="274"/>
      <c r="P85" s="274"/>
      <c r="Q85" s="275"/>
      <c r="R85" s="275"/>
      <c r="S85" s="275"/>
      <c r="T85" s="275"/>
      <c r="U85" s="275"/>
      <c r="V85" s="275"/>
      <c r="W85" s="275"/>
      <c r="X85" s="275"/>
      <c r="Y85" s="275"/>
      <c r="Z85" s="275"/>
      <c r="AA85" s="275"/>
      <c r="AB85" s="275"/>
      <c r="AC85" s="275"/>
      <c r="AD85" s="275"/>
      <c r="AE85" s="275"/>
      <c r="AF85" s="275"/>
      <c r="AG85" s="275"/>
      <c r="AH85" s="275"/>
      <c r="AI85" s="275"/>
      <c r="AJ85" s="275"/>
      <c r="AK85" s="275"/>
      <c r="AL85" s="275"/>
    </row>
    <row r="86" spans="1:39" x14ac:dyDescent="0.25">
      <c r="L86" s="170"/>
      <c r="M86" s="167"/>
      <c r="N86" s="167"/>
      <c r="O86" s="169"/>
      <c r="P86" s="169"/>
    </row>
    <row r="87" spans="1:39" x14ac:dyDescent="0.25">
      <c r="M87" s="168"/>
      <c r="N87" s="168"/>
      <c r="O87" s="166"/>
      <c r="P87" s="166"/>
    </row>
    <row r="88" spans="1:39" x14ac:dyDescent="0.25">
      <c r="M88" s="169"/>
      <c r="N88" s="169"/>
      <c r="O88" s="166"/>
      <c r="P88" s="166"/>
    </row>
    <row r="89" spans="1:39" x14ac:dyDescent="0.25">
      <c r="M89" s="166"/>
      <c r="O89" s="180"/>
      <c r="P89" s="180"/>
      <c r="Q89" s="156"/>
      <c r="R89" s="198"/>
      <c r="AA89" s="214"/>
      <c r="AB89" s="213"/>
      <c r="AI89" s="212"/>
    </row>
    <row r="90" spans="1:39" x14ac:dyDescent="0.25">
      <c r="M90" s="166"/>
      <c r="N90" s="163"/>
      <c r="O90" s="219"/>
      <c r="P90" s="219"/>
      <c r="Q90" s="165"/>
      <c r="R90" s="198"/>
      <c r="AA90" s="214"/>
      <c r="AB90" s="213"/>
      <c r="AI90" s="212"/>
      <c r="AM90" s="181"/>
    </row>
    <row r="91" spans="1:39" x14ac:dyDescent="0.25">
      <c r="M91" s="170"/>
      <c r="N91" s="170"/>
    </row>
  </sheetData>
  <sheetProtection algorithmName="SHA-512" hashValue="wbKW8mJWJ/onyJKcETWeBS9l59MTvGCwYriO26WfmjbqYODIJGtDBsnbLnw6sGBtaagfhzYjr51roGpGQNsYWQ==" saltValue="lem91bPj3x5UeDcgmmkF1g==" spinCount="100000" sheet="1" selectLockedCells="1"/>
  <sortState xmlns:xlrd2="http://schemas.microsoft.com/office/spreadsheetml/2017/richdata2" ref="AG29:AH56">
    <sortCondition ref="AG29:AG56"/>
  </sortState>
  <mergeCells count="157">
    <mergeCell ref="A80:E81"/>
    <mergeCell ref="F39:H39"/>
    <mergeCell ref="F80:H80"/>
    <mergeCell ref="J77:J78"/>
    <mergeCell ref="C78:D78"/>
    <mergeCell ref="F78:G78"/>
    <mergeCell ref="H78:I78"/>
    <mergeCell ref="D79:H79"/>
    <mergeCell ref="D70:H70"/>
    <mergeCell ref="A71:A79"/>
    <mergeCell ref="B71:B75"/>
    <mergeCell ref="F73:G73"/>
    <mergeCell ref="H73:J73"/>
    <mergeCell ref="F74:G74"/>
    <mergeCell ref="H74:J74"/>
    <mergeCell ref="F75:G75"/>
    <mergeCell ref="H75:J75"/>
    <mergeCell ref="B76:B78"/>
    <mergeCell ref="C76:D76"/>
    <mergeCell ref="F76:G76"/>
    <mergeCell ref="H76:I76"/>
    <mergeCell ref="C77:D77"/>
    <mergeCell ref="F77:G77"/>
    <mergeCell ref="H77:I77"/>
    <mergeCell ref="A62:A70"/>
    <mergeCell ref="B62:B66"/>
    <mergeCell ref="F64:G64"/>
    <mergeCell ref="H64:J64"/>
    <mergeCell ref="F65:G65"/>
    <mergeCell ref="H65:J65"/>
    <mergeCell ref="F66:G66"/>
    <mergeCell ref="H66:J66"/>
    <mergeCell ref="B67:B69"/>
    <mergeCell ref="C67:D67"/>
    <mergeCell ref="F67:G67"/>
    <mergeCell ref="H67:I67"/>
    <mergeCell ref="C68:D68"/>
    <mergeCell ref="F68:G68"/>
    <mergeCell ref="H68:I68"/>
    <mergeCell ref="J68:J69"/>
    <mergeCell ref="C69:D69"/>
    <mergeCell ref="F69:G69"/>
    <mergeCell ref="H69:I69"/>
    <mergeCell ref="A53:A61"/>
    <mergeCell ref="B53:B57"/>
    <mergeCell ref="F55:G55"/>
    <mergeCell ref="H55:J55"/>
    <mergeCell ref="F56:G56"/>
    <mergeCell ref="H56:J56"/>
    <mergeCell ref="F57:G57"/>
    <mergeCell ref="H57:J57"/>
    <mergeCell ref="B58:B60"/>
    <mergeCell ref="C58:D58"/>
    <mergeCell ref="F58:G58"/>
    <mergeCell ref="H58:I58"/>
    <mergeCell ref="C59:D59"/>
    <mergeCell ref="F59:G59"/>
    <mergeCell ref="H59:I59"/>
    <mergeCell ref="J59:J60"/>
    <mergeCell ref="C60:D60"/>
    <mergeCell ref="F60:G60"/>
    <mergeCell ref="H60:I60"/>
    <mergeCell ref="D61:H61"/>
    <mergeCell ref="D52:H52"/>
    <mergeCell ref="A7:A10"/>
    <mergeCell ref="A44:A52"/>
    <mergeCell ref="B44:B48"/>
    <mergeCell ref="F46:G46"/>
    <mergeCell ref="H46:J46"/>
    <mergeCell ref="F47:G47"/>
    <mergeCell ref="H47:J47"/>
    <mergeCell ref="F48:G48"/>
    <mergeCell ref="H48:J48"/>
    <mergeCell ref="B49:B51"/>
    <mergeCell ref="C49:D49"/>
    <mergeCell ref="F49:G49"/>
    <mergeCell ref="H49:I49"/>
    <mergeCell ref="C50:D50"/>
    <mergeCell ref="F50:G50"/>
    <mergeCell ref="H50:I50"/>
    <mergeCell ref="B12:B16"/>
    <mergeCell ref="B17:B19"/>
    <mergeCell ref="A12:A20"/>
    <mergeCell ref="J1:K1"/>
    <mergeCell ref="A2:D2"/>
    <mergeCell ref="E2:F2"/>
    <mergeCell ref="I2:K2"/>
    <mergeCell ref="A3:D3"/>
    <mergeCell ref="E3:F3"/>
    <mergeCell ref="I3:K3"/>
    <mergeCell ref="J50:J51"/>
    <mergeCell ref="C51:D51"/>
    <mergeCell ref="F51:G51"/>
    <mergeCell ref="H51:I51"/>
    <mergeCell ref="D20:H20"/>
    <mergeCell ref="H18:I18"/>
    <mergeCell ref="H16:J16"/>
    <mergeCell ref="C19:D19"/>
    <mergeCell ref="F19:G19"/>
    <mergeCell ref="H19:I19"/>
    <mergeCell ref="J18:J19"/>
    <mergeCell ref="A4:D4"/>
    <mergeCell ref="E4:F4"/>
    <mergeCell ref="I4:K4"/>
    <mergeCell ref="C5:D5"/>
    <mergeCell ref="E5:F5"/>
    <mergeCell ref="I5:K5"/>
    <mergeCell ref="F14:G14"/>
    <mergeCell ref="H14:J14"/>
    <mergeCell ref="H15:J15"/>
    <mergeCell ref="C18:D18"/>
    <mergeCell ref="C17:D17"/>
    <mergeCell ref="F16:G16"/>
    <mergeCell ref="F17:G17"/>
    <mergeCell ref="F18:G18"/>
    <mergeCell ref="H17:I17"/>
    <mergeCell ref="F15:G15"/>
    <mergeCell ref="D38:H38"/>
    <mergeCell ref="A30:A38"/>
    <mergeCell ref="B30:B34"/>
    <mergeCell ref="F32:G32"/>
    <mergeCell ref="H32:J32"/>
    <mergeCell ref="F33:G33"/>
    <mergeCell ref="H33:J33"/>
    <mergeCell ref="F34:G34"/>
    <mergeCell ref="H34:J34"/>
    <mergeCell ref="B35:B37"/>
    <mergeCell ref="C35:D35"/>
    <mergeCell ref="F35:G35"/>
    <mergeCell ref="H35:I35"/>
    <mergeCell ref="C36:D36"/>
    <mergeCell ref="F36:G36"/>
    <mergeCell ref="H36:I36"/>
    <mergeCell ref="J36:J37"/>
    <mergeCell ref="C37:D37"/>
    <mergeCell ref="F37:G37"/>
    <mergeCell ref="H37:I37"/>
    <mergeCell ref="A21:A29"/>
    <mergeCell ref="B21:B25"/>
    <mergeCell ref="F23:G23"/>
    <mergeCell ref="H23:J23"/>
    <mergeCell ref="F24:G24"/>
    <mergeCell ref="H24:J24"/>
    <mergeCell ref="B26:B28"/>
    <mergeCell ref="F28:G28"/>
    <mergeCell ref="H28:I28"/>
    <mergeCell ref="F27:G27"/>
    <mergeCell ref="H27:I27"/>
    <mergeCell ref="C28:D28"/>
    <mergeCell ref="D29:H29"/>
    <mergeCell ref="F25:G25"/>
    <mergeCell ref="H25:J25"/>
    <mergeCell ref="J27:J28"/>
    <mergeCell ref="C26:D26"/>
    <mergeCell ref="F26:G26"/>
    <mergeCell ref="H26:I26"/>
    <mergeCell ref="C27:D27"/>
  </mergeCells>
  <phoneticPr fontId="4" type="noConversion"/>
  <conditionalFormatting sqref="D13:J13 L18 L27 L36 L49 L58 L67 L76 M23:N23 O30:P30 M32:N32 O39:P39 O53:P53 M55:N55 O62:P62 M64:N64 O71:P71 M73:N73 O80:P80 M82:N82">
    <cfRule type="cellIs" dxfId="149" priority="183" operator="greaterThan">
      <formula>0</formula>
    </cfRule>
  </conditionalFormatting>
  <conditionalFormatting sqref="C15:J15">
    <cfRule type="cellIs" dxfId="148" priority="182" operator="greaterThan">
      <formula>0</formula>
    </cfRule>
  </conditionalFormatting>
  <conditionalFormatting sqref="C18:I18">
    <cfRule type="cellIs" dxfId="147" priority="179" operator="greaterThan">
      <formula>0</formula>
    </cfRule>
  </conditionalFormatting>
  <conditionalFormatting sqref="K18">
    <cfRule type="containsText" dxfId="146" priority="148" operator="containsText" text="kalkulace">
      <formula>NOT(ISERROR(SEARCH("kalkulace",K18)))</formula>
    </cfRule>
  </conditionalFormatting>
  <conditionalFormatting sqref="C18:I19">
    <cfRule type="containsText" dxfId="145" priority="137" operator="containsText" text="dveře">
      <formula>NOT(ISERROR(SEARCH("dveře",C18)))</formula>
    </cfRule>
    <cfRule type="containsText" dxfId="144" priority="138" operator="containsText" text="kalkulace">
      <formula>NOT(ISERROR(SEARCH("kalkulace",C18)))</formula>
    </cfRule>
  </conditionalFormatting>
  <conditionalFormatting sqref="L84 O87:P87 M89">
    <cfRule type="cellIs" dxfId="143" priority="134" operator="greaterThan">
      <formula>0</formula>
    </cfRule>
  </conditionalFormatting>
  <conditionalFormatting sqref="L43 L34 L25 L74 L65 L56 L83 O37:P37 N39 O28:P28 M30:N30 O86:P86 M88:N88 O51:P51 M53:N53 O60:P60 M62:N62 O69:P69 M71:N71 O78:P78 M80:N80">
    <cfRule type="colorScale" priority="96">
      <colorScale>
        <cfvo type="num" val="1"/>
        <cfvo type="num" val="100000"/>
        <color theme="9" tint="0.59999389629810485"/>
        <color theme="9" tint="0.59999389629810485"/>
      </colorScale>
    </cfRule>
  </conditionalFormatting>
  <conditionalFormatting sqref="L85 O88:P88 M90">
    <cfRule type="cellIs" dxfId="142" priority="78" operator="greaterThan">
      <formula>0</formula>
    </cfRule>
  </conditionalFormatting>
  <conditionalFormatting sqref="J39:J40">
    <cfRule type="cellIs" dxfId="141" priority="77" operator="greaterThan">
      <formula>0</formula>
    </cfRule>
  </conditionalFormatting>
  <conditionalFormatting sqref="K39">
    <cfRule type="cellIs" dxfId="140" priority="76" operator="greaterThan">
      <formula>0</formula>
    </cfRule>
  </conditionalFormatting>
  <conditionalFormatting sqref="K61">
    <cfRule type="colorScale" priority="51">
      <colorScale>
        <cfvo type="num" val="1"/>
        <cfvo type="num" val="100000"/>
        <color theme="9" tint="0.59999389629810485"/>
        <color theme="9" tint="0.59999389629810485"/>
      </colorScale>
    </cfRule>
  </conditionalFormatting>
  <conditionalFormatting sqref="J61">
    <cfRule type="cellIs" dxfId="139" priority="50" operator="greaterThan">
      <formula>0</formula>
    </cfRule>
  </conditionalFormatting>
  <conditionalFormatting sqref="K20">
    <cfRule type="colorScale" priority="73">
      <colorScale>
        <cfvo type="num" val="1"/>
        <cfvo type="num" val="100000"/>
        <color theme="9" tint="0.59999389629810485"/>
        <color theme="9" tint="0.59999389629810485"/>
      </colorScale>
    </cfRule>
  </conditionalFormatting>
  <conditionalFormatting sqref="J20">
    <cfRule type="cellIs" dxfId="138" priority="72" operator="greaterThan">
      <formula>0</formula>
    </cfRule>
  </conditionalFormatting>
  <conditionalFormatting sqref="C59:I59">
    <cfRule type="cellIs" dxfId="137" priority="63" operator="greaterThan">
      <formula>0</formula>
    </cfRule>
  </conditionalFormatting>
  <conditionalFormatting sqref="D54:J54">
    <cfRule type="cellIs" dxfId="136" priority="65" operator="greaterThan">
      <formula>0</formula>
    </cfRule>
  </conditionalFormatting>
  <conditionalFormatting sqref="C56:J56">
    <cfRule type="cellIs" dxfId="135" priority="64" operator="greaterThan">
      <formula>0</formula>
    </cfRule>
  </conditionalFormatting>
  <conditionalFormatting sqref="K59">
    <cfRule type="containsText" dxfId="134" priority="62" operator="containsText" text="kalkulace">
      <formula>NOT(ISERROR(SEARCH("kalkulace",K59)))</formula>
    </cfRule>
  </conditionalFormatting>
  <conditionalFormatting sqref="C59:I60">
    <cfRule type="containsText" dxfId="133" priority="60" operator="containsText" text="dveře">
      <formula>NOT(ISERROR(SEARCH("dveře",C59)))</formula>
    </cfRule>
    <cfRule type="containsText" dxfId="132" priority="61" operator="containsText" text="kalkulace">
      <formula>NOT(ISERROR(SEARCH("kalkulace",C59)))</formula>
    </cfRule>
  </conditionalFormatting>
  <conditionalFormatting sqref="D63:J63">
    <cfRule type="cellIs" dxfId="131" priority="59" operator="greaterThan">
      <formula>0</formula>
    </cfRule>
  </conditionalFormatting>
  <conditionalFormatting sqref="C65:J65">
    <cfRule type="cellIs" dxfId="130" priority="58" operator="greaterThan">
      <formula>0</formula>
    </cfRule>
  </conditionalFormatting>
  <conditionalFormatting sqref="C68:I68">
    <cfRule type="cellIs" dxfId="129" priority="57" operator="greaterThan">
      <formula>0</formula>
    </cfRule>
  </conditionalFormatting>
  <conditionalFormatting sqref="K68">
    <cfRule type="containsText" dxfId="128" priority="56" operator="containsText" text="kalkulace">
      <formula>NOT(ISERROR(SEARCH("kalkulace",K68)))</formula>
    </cfRule>
  </conditionalFormatting>
  <conditionalFormatting sqref="C68:I69">
    <cfRule type="containsText" dxfId="127" priority="54" operator="containsText" text="dveře">
      <formula>NOT(ISERROR(SEARCH("dveře",C68)))</formula>
    </cfRule>
    <cfRule type="containsText" dxfId="126" priority="55" operator="containsText" text="kalkulace">
      <formula>NOT(ISERROR(SEARCH("kalkulace",C68)))</formula>
    </cfRule>
  </conditionalFormatting>
  <conditionalFormatting sqref="K70">
    <cfRule type="colorScale" priority="53">
      <colorScale>
        <cfvo type="num" val="1"/>
        <cfvo type="num" val="100000"/>
        <color theme="9" tint="0.59999389629810485"/>
        <color theme="9" tint="0.59999389629810485"/>
      </colorScale>
    </cfRule>
  </conditionalFormatting>
  <conditionalFormatting sqref="J70">
    <cfRule type="cellIs" dxfId="125" priority="52" operator="greaterThan">
      <formula>0</formula>
    </cfRule>
  </conditionalFormatting>
  <conditionalFormatting sqref="K79">
    <cfRule type="colorScale" priority="41">
      <colorScale>
        <cfvo type="num" val="1"/>
        <cfvo type="num" val="100000"/>
        <color theme="9" tint="0.59999389629810485"/>
        <color theme="9" tint="0.59999389629810485"/>
      </colorScale>
    </cfRule>
  </conditionalFormatting>
  <conditionalFormatting sqref="J79">
    <cfRule type="cellIs" dxfId="124" priority="40" operator="greaterThan">
      <formula>0</formula>
    </cfRule>
  </conditionalFormatting>
  <conditionalFormatting sqref="D72:J72">
    <cfRule type="cellIs" dxfId="123" priority="47" operator="greaterThan">
      <formula>0</formula>
    </cfRule>
  </conditionalFormatting>
  <conditionalFormatting sqref="C74:J74">
    <cfRule type="cellIs" dxfId="122" priority="46" operator="greaterThan">
      <formula>0</formula>
    </cfRule>
  </conditionalFormatting>
  <conditionalFormatting sqref="C77:I77">
    <cfRule type="cellIs" dxfId="121" priority="45" operator="greaterThan">
      <formula>0</formula>
    </cfRule>
  </conditionalFormatting>
  <conditionalFormatting sqref="K77">
    <cfRule type="containsText" dxfId="120" priority="44" operator="containsText" text="kalkulace">
      <formula>NOT(ISERROR(SEARCH("kalkulace",K77)))</formula>
    </cfRule>
  </conditionalFormatting>
  <conditionalFormatting sqref="C77:I78">
    <cfRule type="containsText" dxfId="119" priority="42" operator="containsText" text="dveře">
      <formula>NOT(ISERROR(SEARCH("dveře",C77)))</formula>
    </cfRule>
    <cfRule type="containsText" dxfId="118" priority="43" operator="containsText" text="kalkulace">
      <formula>NOT(ISERROR(SEARCH("kalkulace",C77)))</formula>
    </cfRule>
  </conditionalFormatting>
  <conditionalFormatting sqref="D22:J22">
    <cfRule type="cellIs" dxfId="117" priority="39" operator="greaterThan">
      <formula>0</formula>
    </cfRule>
  </conditionalFormatting>
  <conditionalFormatting sqref="C24:J24">
    <cfRule type="cellIs" dxfId="116" priority="38" operator="greaterThan">
      <formula>0</formula>
    </cfRule>
  </conditionalFormatting>
  <conditionalFormatting sqref="C27:I27">
    <cfRule type="cellIs" dxfId="115" priority="37" operator="greaterThan">
      <formula>0</formula>
    </cfRule>
  </conditionalFormatting>
  <conditionalFormatting sqref="K27">
    <cfRule type="containsText" dxfId="114" priority="36" operator="containsText" text="kalkulace">
      <formula>NOT(ISERROR(SEARCH("kalkulace",K27)))</formula>
    </cfRule>
  </conditionalFormatting>
  <conditionalFormatting sqref="C27:I28">
    <cfRule type="containsText" dxfId="113" priority="34" operator="containsText" text="dveře">
      <formula>NOT(ISERROR(SEARCH("dveře",C27)))</formula>
    </cfRule>
    <cfRule type="containsText" dxfId="112" priority="35" operator="containsText" text="kalkulace">
      <formula>NOT(ISERROR(SEARCH("kalkulace",C27)))</formula>
    </cfRule>
  </conditionalFormatting>
  <conditionalFormatting sqref="K29">
    <cfRule type="colorScale" priority="33">
      <colorScale>
        <cfvo type="num" val="1"/>
        <cfvo type="num" val="100000"/>
        <color theme="9" tint="0.59999389629810485"/>
        <color theme="9" tint="0.59999389629810485"/>
      </colorScale>
    </cfRule>
  </conditionalFormatting>
  <conditionalFormatting sqref="J29">
    <cfRule type="cellIs" dxfId="111" priority="32" operator="greaterThan">
      <formula>0</formula>
    </cfRule>
  </conditionalFormatting>
  <conditionalFormatting sqref="D31:J31">
    <cfRule type="cellIs" dxfId="110" priority="31" operator="greaterThan">
      <formula>0</formula>
    </cfRule>
  </conditionalFormatting>
  <conditionalFormatting sqref="C33:J33">
    <cfRule type="cellIs" dxfId="109" priority="30" operator="greaterThan">
      <formula>0</formula>
    </cfRule>
  </conditionalFormatting>
  <conditionalFormatting sqref="C36:I36">
    <cfRule type="cellIs" dxfId="108" priority="29" operator="greaterThan">
      <formula>0</formula>
    </cfRule>
  </conditionalFormatting>
  <conditionalFormatting sqref="K36">
    <cfRule type="containsText" dxfId="107" priority="28" operator="containsText" text="kalkulace">
      <formula>NOT(ISERROR(SEARCH("kalkulace",K36)))</formula>
    </cfRule>
  </conditionalFormatting>
  <conditionalFormatting sqref="C36:I37">
    <cfRule type="containsText" dxfId="106" priority="26" operator="containsText" text="dveře">
      <formula>NOT(ISERROR(SEARCH("dveře",C36)))</formula>
    </cfRule>
    <cfRule type="containsText" dxfId="105" priority="27" operator="containsText" text="kalkulace">
      <formula>NOT(ISERROR(SEARCH("kalkulace",C36)))</formula>
    </cfRule>
  </conditionalFormatting>
  <conditionalFormatting sqref="K38">
    <cfRule type="colorScale" priority="25">
      <colorScale>
        <cfvo type="num" val="1"/>
        <cfvo type="num" val="100000"/>
        <color theme="9" tint="0.59999389629810485"/>
        <color theme="9" tint="0.59999389629810485"/>
      </colorScale>
    </cfRule>
  </conditionalFormatting>
  <conditionalFormatting sqref="J38">
    <cfRule type="cellIs" dxfId="104" priority="24" operator="greaterThan">
      <formula>0</formula>
    </cfRule>
  </conditionalFormatting>
  <conditionalFormatting sqref="D45:J45">
    <cfRule type="cellIs" dxfId="103" priority="23" operator="greaterThan">
      <formula>0</formula>
    </cfRule>
  </conditionalFormatting>
  <conditionalFormatting sqref="C47:J47">
    <cfRule type="cellIs" dxfId="102" priority="22" operator="greaterThan">
      <formula>0</formula>
    </cfRule>
  </conditionalFormatting>
  <conditionalFormatting sqref="C50:I50">
    <cfRule type="cellIs" dxfId="101" priority="21" operator="greaterThan">
      <formula>0</formula>
    </cfRule>
  </conditionalFormatting>
  <conditionalFormatting sqref="K50">
    <cfRule type="containsText" dxfId="100" priority="20" operator="containsText" text="kalkulace">
      <formula>NOT(ISERROR(SEARCH("kalkulace",K50)))</formula>
    </cfRule>
  </conditionalFormatting>
  <conditionalFormatting sqref="C50:I51">
    <cfRule type="containsText" dxfId="99" priority="18" operator="containsText" text="dveře">
      <formula>NOT(ISERROR(SEARCH("dveře",C50)))</formula>
    </cfRule>
    <cfRule type="containsText" dxfId="98" priority="19" operator="containsText" text="kalkulace">
      <formula>NOT(ISERROR(SEARCH("kalkulace",C50)))</formula>
    </cfRule>
  </conditionalFormatting>
  <conditionalFormatting sqref="K52">
    <cfRule type="colorScale" priority="17">
      <colorScale>
        <cfvo type="num" val="1"/>
        <cfvo type="num" val="100000"/>
        <color theme="9" tint="0.59999389629810485"/>
        <color theme="9" tint="0.59999389629810485"/>
      </colorScale>
    </cfRule>
  </conditionalFormatting>
  <conditionalFormatting sqref="J52">
    <cfRule type="cellIs" dxfId="97" priority="16" operator="greaterThan">
      <formula>0</formula>
    </cfRule>
  </conditionalFormatting>
  <conditionalFormatting sqref="J80 J82">
    <cfRule type="cellIs" dxfId="96" priority="3" operator="greaterThan">
      <formula>0</formula>
    </cfRule>
  </conditionalFormatting>
  <conditionalFormatting sqref="J80:K80">
    <cfRule type="cellIs" dxfId="95" priority="2" operator="greaterThan">
      <formula>0</formula>
    </cfRule>
  </conditionalFormatting>
  <conditionalFormatting sqref="J81:K81">
    <cfRule type="cellIs" dxfId="94" priority="1" operator="greaterThan">
      <formula>0</formula>
    </cfRule>
  </conditionalFormatting>
  <dataValidations xWindow="191" yWindow="576" count="18">
    <dataValidation type="list" allowBlank="1" showInputMessage="1" showErrorMessage="1" sqref="D13 D22 D31 D45 D54 D63 D72" xr:uid="{00000000-0002-0000-0000-000000000000}">
      <formula1>povrch</formula1>
    </dataValidation>
    <dataValidation type="list" allowBlank="1" showInputMessage="1" showErrorMessage="1" sqref="G13 G22 G31 G45 G54 G63 G72" xr:uid="{00000000-0002-0000-0000-000001000000}">
      <formula1>INDIRECT(F13)</formula1>
    </dataValidation>
    <dataValidation type="list" allowBlank="1" showInputMessage="1" showErrorMessage="1" sqref="F13 F22 F31 F45 F54 F63 F72" xr:uid="{00000000-0002-0000-0000-000002000000}">
      <formula1>typ</formula1>
    </dataValidation>
    <dataValidation type="list" allowBlank="1" showInputMessage="1" showErrorMessage="1" sqref="H13 H22 H31 H45 H54 H63 H72" xr:uid="{00000000-0002-0000-0000-000003000000}">
      <formula1>INDIRECT(CONCATENATE($H$12,D13))</formula1>
    </dataValidation>
    <dataValidation type="list" allowBlank="1" showInputMessage="1" showErrorMessage="1" prompt="Podívejte se na dveře ze strany, kde vidíte panty. Jsou-li vpravo, volte pravé. U dvoukřídlých dveří toto platí pro  křídlo s klikou. " sqref="I13 I31 I22 I45 I63 I54 I72" xr:uid="{00000000-0002-0000-0000-000004000000}">
      <formula1>$Z$26:$Z$27</formula1>
    </dataValidation>
    <dataValidation type="list" allowBlank="1" showInputMessage="1" showErrorMessage="1" prompt="Standard jsou dveře s falzem a ostrou hranou." sqref="J13 J31 J22 J45 J63 J54 J72" xr:uid="{00000000-0002-0000-0000-000005000000}">
      <formula1>INDIRECT(R13)</formula1>
    </dataValidation>
    <dataValidation type="list" allowBlank="1" showInputMessage="1" showErrorMessage="1" sqref="C15:C16 C33:C34 C24:C25 C47:C48 C65:C66 C56:C57 C74:C75" xr:uid="{00000000-0002-0000-0000-000006000000}">
      <formula1>$Z$30:$Z$32</formula1>
    </dataValidation>
    <dataValidation type="list" allowBlank="1" showInputMessage="1" showErrorMessage="1" prompt="Dvoukřídlé dveře mají stejné mřížky v obou křídlech._x000a_" sqref="E15 E33 E24 E47 E65 E56 E74" xr:uid="{00000000-0002-0000-0000-000007000000}">
      <formula1>$V$35:$V$40</formula1>
    </dataValidation>
    <dataValidation type="list" allowBlank="1" showInputMessage="1" showErrorMessage="1" sqref="D15:D16 D33:D34 D24:D25 D47:D48 D65:D66 D56:D57 D74:D75" xr:uid="{00000000-0002-0000-0000-000008000000}">
      <formula1>$AB$30:$AB$31</formula1>
    </dataValidation>
    <dataValidation type="list" allowBlank="1" showInputMessage="1" showErrorMessage="1" sqref="F15:G15 F33:G33 F24:G24 F47:G47 F65:G65 F56:G56 F74:G74" xr:uid="{00000000-0002-0000-0000-00000A000000}">
      <formula1>$V$44:$V$50</formula1>
    </dataValidation>
    <dataValidation type="list" allowBlank="1" showInputMessage="1" showErrorMessage="1" error="opravte" sqref="E13 E22 E31 E45 E54 E63 E72" xr:uid="{00000000-0002-0000-0000-00000B000000}">
      <formula1>INDIRECT(D13)</formula1>
    </dataValidation>
    <dataValidation type="whole" allowBlank="1" showInputMessage="1" showErrorMessage="1" sqref="J20 J29 J38 J52 J61 J70 J79" xr:uid="{00000000-0002-0000-0000-00000C000000}">
      <formula1>1</formula1>
      <formula2>9999</formula2>
    </dataValidation>
    <dataValidation type="list" allowBlank="1" showInputMessage="1" showErrorMessage="1" prompt="zvolené sklo určuje cenu dveří _x000a_(nejlevnější 1 -&gt; _x000a_-&gt; 5 nejdražší)" sqref="L18 O62:P62 M64:N64 O53:P53 M55:N55 O71:P71 M73:N73 O39:P39 M82:N82 O30:P30 M32:N32 O80:P80 M23:N23 L27 L36 L49 L58 L67 L76" xr:uid="{00000000-0002-0000-0000-00000D000000}">
      <formula1>$AC$50:$AC$59</formula1>
    </dataValidation>
    <dataValidation type="list" allowBlank="1" showInputMessage="1" showErrorMessage="1" sqref="E18 E36 E27 E50 E68 E59 E77" xr:uid="{00000000-0002-0000-0000-000010000000}">
      <formula1>$Z$49:$Z$70</formula1>
    </dataValidation>
    <dataValidation type="list" allowBlank="1" showInputMessage="1" showErrorMessage="1" prompt="Čelní je ta strana z pohledu, kam se křídlo otevírá (kde vidíte panty). U dvoukřídlých jde o křídlo s klikou." sqref="C18:D18 C36:D36 C27:D27 C50:D50 C68:D68 C59:D59 C77:D77" xr:uid="{00000000-0002-0000-0000-000011000000}">
      <formula1>$Z$49:$Z$70</formula1>
    </dataValidation>
    <dataValidation type="list" allowBlank="1" showInputMessage="1" showErrorMessage="1" sqref="H15:J15 H74:J74 H56:J56 H65:J65 H47:J47 H24:J24 H33:J33" xr:uid="{00000000-0002-0000-0000-000009000000}">
      <formula1>$Z$35:$Z$45</formula1>
    </dataValidation>
    <dataValidation type="list" allowBlank="1" showInputMessage="1" showErrorMessage="1" prompt="vyberte pouze pro dvoukřídlé dveře (pro křídlo bez kliky)" sqref="F18:G18 F77:G77 F59:G59 F68:G68 F50:G50 F27:G27 F36:G36" xr:uid="{00000000-0002-0000-0000-00000E000000}">
      <formula1>IF(F13=$V$27,$Z$49:$Z$70,"ne")</formula1>
    </dataValidation>
    <dataValidation type="list" allowBlank="1" showInputMessage="1" showErrorMessage="1" prompt="vyberte pouze pro dvoukřídlé dveře (pro křídlo bez kliky)" sqref="H18:I18 H77:I77 H59:I59 H68:I68 H50:I50 H27:I27 H36:I36" xr:uid="{00000000-0002-0000-0000-00000F000000}">
      <formula1>IF(F13=$V$27,$Z$49:$Z$70,"ne")</formula1>
    </dataValidation>
  </dataValidations>
  <hyperlinks>
    <hyperlink ref="K84" r:id="rId1" xr:uid="{7A22945B-C9F9-47EB-932B-3D346F133EBD}"/>
  </hyperlinks>
  <pageMargins left="0.43307086614173229" right="0.31496062992125984" top="0.62992125984251968" bottom="0.70866141732283472" header="0.31496062992125984" footer="0.19685039370078741"/>
  <pageSetup paperSize="9" fitToHeight="2" orientation="portrait" r:id="rId2"/>
  <headerFooter alignWithMargins="0">
    <oddHeader>&amp;Rstrana &amp;P</oddHeader>
    <oddFooter>&amp;L&amp;G&amp;C&amp;10
&amp;R&amp;G</oddFooter>
  </headerFooter>
  <drawing r:id="rId3"/>
  <legacyDrawing r:id="rId4"/>
  <legacyDrawingHF r:id="rId5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01" operator="containsText" text="kalkulace" id="{D61001E0-79FF-49A8-BF99-2BC065D56F22}">
            <xm:f>NOT(ISERROR(SEARCH("kalkulace",'dveře prosklené'!M52)))</xm:f>
            <x14:dxf>
              <font>
                <b/>
                <i val="0"/>
                <color auto="1"/>
              </font>
              <fill>
                <patternFill>
                  <bgColor theme="5" tint="0.59996337778862885"/>
                </patternFill>
              </fill>
            </x14:dxf>
          </x14:cfRule>
          <xm:sqref>L54 L63 L72 L81</xm:sqref>
        </x14:conditionalFormatting>
        <x14:conditionalFormatting xmlns:xm="http://schemas.microsoft.com/office/excel/2006/main">
          <x14:cfRule type="containsText" priority="185" operator="containsText" text="kalkulace" id="{D61001E0-79FF-49A8-BF99-2BC065D56F22}">
            <xm:f>NOT(ISERROR(SEARCH("kalkulace",'dveře prosklené'!M20)))</xm:f>
            <x14:dxf>
              <font>
                <b/>
                <i val="0"/>
                <color auto="1"/>
              </font>
              <fill>
                <patternFill>
                  <bgColor theme="5" tint="0.59996337778862885"/>
                </patternFill>
              </fill>
            </x14:dxf>
          </x14:cfRule>
          <xm:sqref>O84 L23 L32 L41</xm:sqref>
        </x14:conditionalFormatting>
        <x14:conditionalFormatting xmlns:xm="http://schemas.microsoft.com/office/excel/2006/main">
          <x14:cfRule type="containsText" priority="192" operator="containsText" text="kalkulace" id="{D61001E0-79FF-49A8-BF99-2BC065D56F22}">
            <xm:f>NOT(ISERROR(SEARCH("kalkulace",'dveře prosklené'!P22)))</xm:f>
            <x14:dxf>
              <font>
                <b/>
                <i val="0"/>
                <color auto="1"/>
              </font>
              <fill>
                <patternFill>
                  <bgColor theme="5" tint="0.59996337778862885"/>
                </patternFill>
              </fill>
            </x14:dxf>
          </x14:cfRule>
          <xm:sqref>O26 O35 O44 O49 O58 O67 O76</xm:sqref>
        </x14:conditionalFormatting>
        <x14:conditionalFormatting xmlns:xm="http://schemas.microsoft.com/office/excel/2006/main">
          <x14:cfRule type="containsText" priority="214" operator="containsText" text="kalkulace" id="{D61001E0-79FF-49A8-BF99-2BC065D56F22}">
            <xm:f>NOT(ISERROR(SEARCH("kalkulace",'dveře prosklené'!N81)))</xm:f>
            <x14:dxf>
              <font>
                <b/>
                <i val="0"/>
                <color auto="1"/>
              </font>
              <fill>
                <patternFill>
                  <bgColor theme="5" tint="0.59996337778862885"/>
                </patternFill>
              </fill>
            </x14:dxf>
          </x14:cfRule>
          <xm:sqref>M86:N86</xm:sqref>
        </x14:conditionalFormatting>
        <x14:conditionalFormatting xmlns:xm="http://schemas.microsoft.com/office/excel/2006/main">
          <x14:cfRule type="containsText" priority="219" operator="containsText" text="kalkulace" id="{D61001E0-79FF-49A8-BF99-2BC065D56F22}">
            <xm:f>NOT(ISERROR(SEARCH("kalkulace",'dveře prosklené'!N22)))</xm:f>
            <x14:dxf>
              <font>
                <b/>
                <i val="0"/>
                <color auto="1"/>
              </font>
              <fill>
                <patternFill>
                  <bgColor theme="5" tint="0.59996337778862885"/>
                </patternFill>
              </fill>
            </x14:dxf>
          </x14:cfRule>
          <xm:sqref>M28:N28 M37:N37 M46:N46 M51:N51 M60:N60 M69:N69 M78:N78</xm:sqref>
        </x14:conditionalFormatting>
        <x14:conditionalFormatting xmlns:xm="http://schemas.microsoft.com/office/excel/2006/main">
          <x14:cfRule type="containsText" priority="225" operator="containsText" text="kalkulace" id="{D61001E0-79FF-49A8-BF99-2BC065D56F22}">
            <xm:f>NOT(ISERROR(SEARCH("kalkulace",'dveře prosklené'!R81)))</xm:f>
            <x14:dxf>
              <font>
                <b/>
                <i val="0"/>
                <color auto="1"/>
              </font>
              <fill>
                <patternFill>
                  <bgColor theme="5" tint="0.59996337778862885"/>
                </patternFill>
              </fill>
            </x14:dxf>
          </x14:cfRule>
          <xm:sqref>P84</xm:sqref>
        </x14:conditionalFormatting>
        <x14:conditionalFormatting xmlns:xm="http://schemas.microsoft.com/office/excel/2006/main">
          <x14:cfRule type="containsText" priority="230" operator="containsText" text="kalkulace" id="{D61001E0-79FF-49A8-BF99-2BC065D56F22}">
            <xm:f>NOT(ISERROR(SEARCH("kalkulace",'dveře prosklené'!R22)))</xm:f>
            <x14:dxf>
              <font>
                <b/>
                <i val="0"/>
                <color auto="1"/>
              </font>
              <fill>
                <patternFill>
                  <bgColor theme="5" tint="0.59996337778862885"/>
                </patternFill>
              </fill>
            </x14:dxf>
          </x14:cfRule>
          <xm:sqref>P26 P35 P44 P49 P58 P67 P76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6CA62C"/>
    <pageSetUpPr fitToPage="1"/>
  </sheetPr>
  <dimension ref="A1:AM86"/>
  <sheetViews>
    <sheetView showGridLines="0" workbookViewId="0">
      <selection activeCell="J1" sqref="J1:K1"/>
    </sheetView>
  </sheetViews>
  <sheetFormatPr defaultRowHeight="15" x14ac:dyDescent="0.25"/>
  <cols>
    <col min="1" max="1" width="4.140625" customWidth="1"/>
    <col min="2" max="2" width="3.85546875" customWidth="1"/>
    <col min="3" max="3" width="10.28515625" style="26" customWidth="1"/>
    <col min="4" max="4" width="7.28515625" style="19" customWidth="1"/>
    <col min="5" max="5" width="15.42578125" style="26" customWidth="1"/>
    <col min="6" max="6" width="11.140625" style="26" customWidth="1"/>
    <col min="7" max="7" width="5.140625" style="19" bestFit="1" customWidth="1"/>
    <col min="8" max="8" width="5.7109375" style="19" bestFit="1" customWidth="1"/>
    <col min="9" max="9" width="7.5703125" style="26" bestFit="1" customWidth="1"/>
    <col min="10" max="10" width="10.5703125" style="19" customWidth="1"/>
    <col min="11" max="11" width="13.7109375" style="14" customWidth="1"/>
    <col min="12" max="12" width="4.140625" style="156" customWidth="1"/>
    <col min="13" max="13" width="3.5703125" style="140" customWidth="1"/>
    <col min="14" max="14" width="13.5703125" style="140" customWidth="1"/>
    <col min="15" max="15" width="12.85546875" style="140" customWidth="1"/>
    <col min="16" max="16" width="12.5703125" style="140" customWidth="1"/>
    <col min="17" max="17" width="3.42578125" style="140" customWidth="1"/>
    <col min="18" max="18" width="5.28515625" style="14" hidden="1" customWidth="1"/>
    <col min="19" max="19" width="15.42578125" hidden="1" customWidth="1"/>
    <col min="20" max="21" width="9" hidden="1" customWidth="1"/>
    <col min="22" max="22" width="9.140625" hidden="1" customWidth="1"/>
    <col min="23" max="23" width="14.42578125" hidden="1" customWidth="1"/>
    <col min="24" max="26" width="9.140625" hidden="1" customWidth="1"/>
    <col min="27" max="27" width="22.85546875" hidden="1" customWidth="1"/>
    <col min="28" max="28" width="15.5703125" style="11" hidden="1" customWidth="1"/>
    <col min="29" max="38" width="9.140625" hidden="1" customWidth="1"/>
    <col min="39" max="39" width="8.85546875" customWidth="1"/>
  </cols>
  <sheetData>
    <row r="1" spans="1:38" ht="16.899999999999999" customHeight="1" x14ac:dyDescent="0.25">
      <c r="A1" s="94" t="s">
        <v>192</v>
      </c>
      <c r="B1" s="95"/>
      <c r="C1" s="96"/>
      <c r="D1" s="97"/>
      <c r="E1" s="102" t="s">
        <v>220</v>
      </c>
      <c r="F1" s="103"/>
      <c r="G1" s="110" t="s">
        <v>194</v>
      </c>
      <c r="H1" s="111"/>
      <c r="I1" s="112"/>
      <c r="J1" s="334"/>
      <c r="K1" s="335"/>
      <c r="L1" s="151"/>
      <c r="M1" s="128"/>
      <c r="N1" s="128"/>
      <c r="O1" s="128"/>
      <c r="P1" s="128"/>
      <c r="Q1" s="128"/>
    </row>
    <row r="2" spans="1:38" s="14" customFormat="1" ht="18.75" customHeight="1" x14ac:dyDescent="0.25">
      <c r="A2" s="323"/>
      <c r="B2" s="324"/>
      <c r="C2" s="324"/>
      <c r="D2" s="325"/>
      <c r="E2" s="326"/>
      <c r="F2" s="327"/>
      <c r="G2" s="114" t="s">
        <v>195</v>
      </c>
      <c r="H2" s="105"/>
      <c r="I2" s="328"/>
      <c r="J2" s="328"/>
      <c r="K2" s="329"/>
      <c r="L2" s="152"/>
      <c r="M2" s="130" t="s">
        <v>218</v>
      </c>
      <c r="N2" s="131"/>
      <c r="O2" s="132"/>
      <c r="P2" s="132"/>
      <c r="Q2" s="120"/>
      <c r="AA2" s="69"/>
    </row>
    <row r="3" spans="1:38" s="14" customFormat="1" ht="18.75" customHeight="1" x14ac:dyDescent="0.2">
      <c r="A3" s="323"/>
      <c r="B3" s="324"/>
      <c r="C3" s="324"/>
      <c r="D3" s="325"/>
      <c r="E3" s="326"/>
      <c r="F3" s="327"/>
      <c r="G3" s="114" t="s">
        <v>196</v>
      </c>
      <c r="H3" s="105"/>
      <c r="I3" s="328"/>
      <c r="J3" s="328"/>
      <c r="K3" s="329"/>
      <c r="L3" s="152"/>
      <c r="M3" s="133" t="s">
        <v>219</v>
      </c>
      <c r="N3" s="131"/>
      <c r="O3" s="132"/>
      <c r="P3" s="132"/>
      <c r="Q3" s="120"/>
      <c r="AA3" s="69"/>
    </row>
    <row r="4" spans="1:38" s="14" customFormat="1" ht="18.75" customHeight="1" x14ac:dyDescent="0.2">
      <c r="A4" s="323"/>
      <c r="B4" s="324"/>
      <c r="C4" s="324"/>
      <c r="D4" s="325"/>
      <c r="E4" s="326"/>
      <c r="F4" s="327"/>
      <c r="G4" s="114" t="s">
        <v>198</v>
      </c>
      <c r="H4" s="105"/>
      <c r="I4" s="328"/>
      <c r="J4" s="328"/>
      <c r="K4" s="329"/>
      <c r="L4" s="152"/>
      <c r="M4" s="134" t="s">
        <v>217</v>
      </c>
      <c r="N4" s="133"/>
      <c r="O4" s="135"/>
      <c r="P4" s="135"/>
      <c r="AA4" s="69"/>
    </row>
    <row r="5" spans="1:38" s="14" customFormat="1" ht="18.75" customHeight="1" thickBot="1" x14ac:dyDescent="0.25">
      <c r="A5" s="99" t="s">
        <v>193</v>
      </c>
      <c r="B5" s="100"/>
      <c r="C5" s="330"/>
      <c r="D5" s="331"/>
      <c r="E5" s="332"/>
      <c r="F5" s="333"/>
      <c r="G5" s="115" t="s">
        <v>197</v>
      </c>
      <c r="H5" s="104"/>
      <c r="I5" s="330"/>
      <c r="J5" s="330"/>
      <c r="K5" s="331"/>
      <c r="L5" s="152"/>
      <c r="M5" s="129"/>
      <c r="N5" s="136"/>
      <c r="O5" s="129"/>
      <c r="P5" s="129"/>
      <c r="Q5" s="129"/>
      <c r="AB5" s="69"/>
    </row>
    <row r="6" spans="1:38" s="14" customFormat="1" ht="4.9000000000000004" customHeight="1" x14ac:dyDescent="0.2">
      <c r="C6" s="26"/>
      <c r="D6" s="19"/>
      <c r="E6" s="19"/>
      <c r="F6" s="19"/>
      <c r="G6" s="26"/>
      <c r="H6" s="19"/>
      <c r="L6" s="156"/>
      <c r="M6" s="129"/>
      <c r="N6" s="129"/>
      <c r="O6" s="129"/>
      <c r="P6" s="129"/>
      <c r="Q6" s="129"/>
      <c r="Z6" s="69"/>
    </row>
    <row r="7" spans="1:38" s="121" customFormat="1" ht="12.75" x14ac:dyDescent="0.2">
      <c r="A7" s="362" t="s">
        <v>199</v>
      </c>
      <c r="B7" s="234" t="s">
        <v>141</v>
      </c>
      <c r="C7" s="235" t="s">
        <v>203</v>
      </c>
      <c r="D7" s="236"/>
      <c r="E7" s="236"/>
      <c r="F7" s="236"/>
      <c r="G7" s="237"/>
      <c r="H7" s="236"/>
      <c r="I7" s="238"/>
      <c r="J7" s="238"/>
      <c r="K7" s="238"/>
      <c r="L7" s="245"/>
      <c r="M7" s="137"/>
      <c r="N7" s="137"/>
      <c r="O7" s="137"/>
      <c r="P7" s="137"/>
      <c r="Q7" s="137"/>
      <c r="Z7" s="126"/>
    </row>
    <row r="8" spans="1:38" s="121" customFormat="1" ht="12.75" x14ac:dyDescent="0.2">
      <c r="A8" s="362"/>
      <c r="B8" s="234"/>
      <c r="C8" s="235" t="s">
        <v>191</v>
      </c>
      <c r="D8" s="236"/>
      <c r="E8" s="236"/>
      <c r="F8" s="236"/>
      <c r="G8" s="237"/>
      <c r="H8" s="236"/>
      <c r="I8" s="238"/>
      <c r="J8" s="238"/>
      <c r="K8" s="238"/>
      <c r="L8" s="245"/>
      <c r="M8" s="138"/>
      <c r="N8" s="137"/>
      <c r="O8" s="137"/>
      <c r="P8" s="137"/>
      <c r="Q8" s="137"/>
      <c r="Z8" s="126"/>
    </row>
    <row r="9" spans="1:38" s="121" customFormat="1" ht="12.75" x14ac:dyDescent="0.2">
      <c r="A9" s="362"/>
      <c r="B9" s="234" t="s">
        <v>141</v>
      </c>
      <c r="C9" s="235" t="s">
        <v>204</v>
      </c>
      <c r="D9" s="236"/>
      <c r="E9" s="236"/>
      <c r="F9" s="236"/>
      <c r="G9" s="237"/>
      <c r="H9" s="236"/>
      <c r="I9" s="238"/>
      <c r="J9" s="238"/>
      <c r="K9" s="238"/>
      <c r="L9" s="245"/>
      <c r="M9" s="139"/>
      <c r="N9" s="137"/>
      <c r="O9" s="137"/>
      <c r="P9" s="137"/>
      <c r="Q9" s="137"/>
      <c r="Z9" s="126"/>
    </row>
    <row r="10" spans="1:38" s="121" customFormat="1" ht="12.75" x14ac:dyDescent="0.2">
      <c r="A10" s="362"/>
      <c r="B10" s="238"/>
      <c r="C10" s="235" t="s">
        <v>205</v>
      </c>
      <c r="D10" s="239"/>
      <c r="E10" s="236"/>
      <c r="F10" s="236"/>
      <c r="G10" s="237"/>
      <c r="H10" s="236"/>
      <c r="I10" s="238"/>
      <c r="J10" s="238"/>
      <c r="K10" s="238"/>
      <c r="L10" s="245"/>
      <c r="M10" s="137"/>
      <c r="N10" s="137"/>
      <c r="O10" s="137"/>
      <c r="P10" s="137"/>
      <c r="Q10" s="137"/>
      <c r="Z10" s="126"/>
    </row>
    <row r="11" spans="1:38" ht="6.6" customHeight="1" thickBot="1" x14ac:dyDescent="0.3">
      <c r="A11" s="39"/>
      <c r="D11" s="40"/>
      <c r="E11" s="19"/>
      <c r="F11" s="19"/>
      <c r="G11" s="26"/>
      <c r="I11" s="14"/>
      <c r="J11" s="14"/>
      <c r="K11"/>
      <c r="L11" s="161"/>
      <c r="M11" s="129"/>
      <c r="R11"/>
      <c r="Z11" s="11"/>
      <c r="AB11"/>
    </row>
    <row r="12" spans="1:38" ht="15" customHeight="1" thickBot="1" x14ac:dyDescent="0.3">
      <c r="A12" s="319" t="s">
        <v>137</v>
      </c>
      <c r="B12" s="354" t="s">
        <v>134</v>
      </c>
      <c r="C12" s="60" t="s">
        <v>56</v>
      </c>
      <c r="D12" s="35" t="s">
        <v>19</v>
      </c>
      <c r="E12" s="60" t="s">
        <v>55</v>
      </c>
      <c r="F12" s="60" t="s">
        <v>23</v>
      </c>
      <c r="G12" s="35" t="s">
        <v>21</v>
      </c>
      <c r="H12" s="35" t="s">
        <v>7</v>
      </c>
      <c r="I12" s="35" t="s">
        <v>22</v>
      </c>
      <c r="J12" s="35" t="s">
        <v>10</v>
      </c>
      <c r="K12" s="61" t="s">
        <v>164</v>
      </c>
      <c r="L12" s="162"/>
      <c r="M12" s="129"/>
      <c r="S12" s="52" t="str">
        <f>CONCATENATE(G13,"_",H13)</f>
        <v>_</v>
      </c>
      <c r="U12" s="28"/>
      <c r="X12" t="s">
        <v>58</v>
      </c>
    </row>
    <row r="13" spans="1:38" s="17" customFormat="1" ht="18.75" customHeight="1" thickBot="1" x14ac:dyDescent="0.3">
      <c r="A13" s="293"/>
      <c r="B13" s="297"/>
      <c r="C13" s="71"/>
      <c r="D13" s="71"/>
      <c r="E13" s="70"/>
      <c r="F13" s="70"/>
      <c r="G13" s="71"/>
      <c r="H13" s="71"/>
      <c r="I13" s="70"/>
      <c r="J13" s="71"/>
      <c r="K13" s="83"/>
      <c r="L13" s="142"/>
      <c r="M13" s="129"/>
      <c r="N13" s="140"/>
      <c r="O13" s="140"/>
      <c r="P13" s="140"/>
      <c r="Q13" s="140"/>
      <c r="R13" s="18"/>
      <c r="S13" s="20" t="str">
        <f>CONCATENATE(D13,F13)</f>
        <v/>
      </c>
      <c r="T13" s="30"/>
      <c r="U13" s="28"/>
      <c r="W13" s="21" t="s">
        <v>19</v>
      </c>
      <c r="X13" s="22" t="s">
        <v>57</v>
      </c>
      <c r="Y13" s="22" t="s">
        <v>51</v>
      </c>
      <c r="Z13" s="22" t="s">
        <v>18</v>
      </c>
      <c r="AA13" s="23" t="s">
        <v>54</v>
      </c>
      <c r="AB13" s="177" t="s">
        <v>7</v>
      </c>
      <c r="AC13" s="24" t="s">
        <v>60</v>
      </c>
      <c r="AD13" s="24" t="s">
        <v>61</v>
      </c>
      <c r="AE13" s="24" t="s">
        <v>63</v>
      </c>
      <c r="AF13" s="25" t="s">
        <v>62</v>
      </c>
      <c r="AL13"/>
    </row>
    <row r="14" spans="1:38" ht="18" customHeight="1" thickBot="1" x14ac:dyDescent="0.3">
      <c r="A14" s="293"/>
      <c r="B14" s="297"/>
      <c r="C14" s="345" t="s">
        <v>89</v>
      </c>
      <c r="D14" s="346"/>
      <c r="E14" s="84" t="s">
        <v>93</v>
      </c>
      <c r="F14" s="345" t="s">
        <v>95</v>
      </c>
      <c r="G14" s="346"/>
      <c r="H14" s="345" t="s">
        <v>96</v>
      </c>
      <c r="I14" s="356"/>
      <c r="J14" s="113" t="s">
        <v>128</v>
      </c>
      <c r="K14" s="86" t="str">
        <f>IFERROR(VLOOKUP(S15,'ceny pro 1-7'!$P$5:$Q$164,2,0),"")</f>
        <v/>
      </c>
      <c r="L14" s="163"/>
      <c r="M14" s="223"/>
      <c r="N14" s="184" t="s">
        <v>228</v>
      </c>
      <c r="O14" s="185" t="s">
        <v>235</v>
      </c>
      <c r="P14" s="185" t="s">
        <v>235</v>
      </c>
      <c r="Q14" s="185"/>
      <c r="S14" t="e">
        <f>VLOOKUP(K13,$AD$45:$AE$54,2,0)</f>
        <v>#N/A</v>
      </c>
      <c r="T14">
        <f>IF(C13=$AD$40,"DD5",C13)</f>
        <v>0</v>
      </c>
      <c r="U14" s="33"/>
      <c r="W14" s="5" t="s">
        <v>57</v>
      </c>
      <c r="X14" t="s">
        <v>16</v>
      </c>
      <c r="Y14" t="s">
        <v>16</v>
      </c>
      <c r="Z14" t="s">
        <v>17</v>
      </c>
      <c r="AA14" s="175" t="s">
        <v>81</v>
      </c>
      <c r="AC14" s="1">
        <v>197</v>
      </c>
      <c r="AD14" s="1">
        <v>197</v>
      </c>
      <c r="AE14" s="1">
        <v>197</v>
      </c>
      <c r="AF14">
        <v>197</v>
      </c>
    </row>
    <row r="15" spans="1:38" ht="19.5" customHeight="1" thickBot="1" x14ac:dyDescent="0.3">
      <c r="A15" s="293"/>
      <c r="B15" s="297"/>
      <c r="C15" s="347"/>
      <c r="D15" s="348"/>
      <c r="E15" s="70"/>
      <c r="F15" s="343"/>
      <c r="G15" s="344"/>
      <c r="H15" s="303"/>
      <c r="I15" s="303"/>
      <c r="J15" s="303"/>
      <c r="K15" s="87" t="s">
        <v>190</v>
      </c>
      <c r="L15" s="164"/>
      <c r="M15" s="224"/>
      <c r="N15" s="186" t="s">
        <v>229</v>
      </c>
      <c r="O15" s="187" t="s">
        <v>230</v>
      </c>
      <c r="P15" s="187" t="s">
        <v>231</v>
      </c>
      <c r="Q15" s="187"/>
      <c r="S15" s="80" t="e">
        <f>CONCATENATE(D13,F13,T14,S14)</f>
        <v>#N/A</v>
      </c>
      <c r="T15" s="80"/>
      <c r="W15" s="5" t="s">
        <v>51</v>
      </c>
      <c r="Y15" t="s">
        <v>14</v>
      </c>
      <c r="Z15" t="s">
        <v>11</v>
      </c>
      <c r="AA15" s="175" t="s">
        <v>80</v>
      </c>
      <c r="AC15" s="1">
        <v>210</v>
      </c>
      <c r="AD15" s="1">
        <v>210</v>
      </c>
      <c r="AE15" s="1">
        <v>210</v>
      </c>
    </row>
    <row r="16" spans="1:38" x14ac:dyDescent="0.25">
      <c r="A16" s="293"/>
      <c r="B16" s="355"/>
      <c r="C16" s="349">
        <f>IF(F13=$W$26,IF(C15=$AA$31,500,IF(C15=$AA$32,1000,0)),IF(C15=$AA$31,1000,IF(C15=$AA$32,2000,0)))</f>
        <v>0</v>
      </c>
      <c r="D16" s="350"/>
      <c r="E16" s="59">
        <f>IF(E15="",0,IF(F13=W26,IF(E15=$W$35,0,450),IF(E15=$W$35,0,900)))</f>
        <v>0</v>
      </c>
      <c r="F16" s="357">
        <f>IF(F13=$W$26,IF(F15=$W$44,150,IF(F15=$W$45,150,IF(F15=$W$46,90,0))),IF(F15=$W$44,300,IF(F15=$W$45,300,IF(F15=$W$46,180,0))))</f>
        <v>0</v>
      </c>
      <c r="G16" s="358"/>
      <c r="H16" s="314">
        <f>IFERROR(VLOOKUP(H15,$AA$35:$AB$45,2,0),0)</f>
        <v>0</v>
      </c>
      <c r="I16" s="315"/>
      <c r="J16" s="316"/>
      <c r="K16" s="75">
        <f>SUM(C16:I16)</f>
        <v>0</v>
      </c>
      <c r="L16" s="165"/>
      <c r="M16" s="224"/>
      <c r="N16" s="183"/>
      <c r="O16" s="183"/>
      <c r="P16" s="183"/>
      <c r="Q16" s="183"/>
      <c r="S16" s="33"/>
      <c r="T16" s="33"/>
      <c r="U16" s="33"/>
      <c r="W16" s="5" t="s">
        <v>54</v>
      </c>
      <c r="Y16" t="s">
        <v>12</v>
      </c>
      <c r="Z16" t="s">
        <v>15</v>
      </c>
      <c r="AA16" s="175" t="s">
        <v>82</v>
      </c>
    </row>
    <row r="17" spans="1:39" ht="28.15" customHeight="1" thickBot="1" x14ac:dyDescent="0.3">
      <c r="A17" s="293"/>
      <c r="B17" s="304" t="s">
        <v>135</v>
      </c>
      <c r="C17" s="320" t="s">
        <v>126</v>
      </c>
      <c r="D17" s="320"/>
      <c r="E17" s="66" t="s">
        <v>124</v>
      </c>
      <c r="F17" s="359" t="s">
        <v>125</v>
      </c>
      <c r="G17" s="360"/>
      <c r="H17" s="321" t="s">
        <v>127</v>
      </c>
      <c r="I17" s="322"/>
      <c r="J17" s="73" t="s">
        <v>132</v>
      </c>
      <c r="K17" s="74" t="str">
        <f>IFERROR(K14+K16,"")</f>
        <v/>
      </c>
      <c r="L17" s="166"/>
      <c r="M17" s="224"/>
      <c r="N17" s="183"/>
      <c r="O17" s="183"/>
      <c r="P17" s="182"/>
      <c r="Q17" s="182"/>
      <c r="S17" s="32"/>
      <c r="T17" s="32"/>
      <c r="W17" s="5" t="s">
        <v>18</v>
      </c>
      <c r="Z17" t="s">
        <v>13</v>
      </c>
      <c r="AA17" s="175" t="s">
        <v>87</v>
      </c>
    </row>
    <row r="18" spans="1:39" ht="18.75" customHeight="1" thickBot="1" x14ac:dyDescent="0.3">
      <c r="A18" s="293"/>
      <c r="B18" s="305"/>
      <c r="C18" s="303"/>
      <c r="D18" s="303"/>
      <c r="E18" s="70"/>
      <c r="F18" s="343"/>
      <c r="G18" s="344"/>
      <c r="H18" s="309"/>
      <c r="I18" s="309"/>
      <c r="J18" s="317" t="s">
        <v>133</v>
      </c>
      <c r="K18" s="68">
        <f>IF(SUM(R18:U18)&gt;0,"kalkulace",SUM(C19:I19))</f>
        <v>0</v>
      </c>
      <c r="L18" s="167"/>
      <c r="M18" s="224"/>
      <c r="N18" s="183"/>
      <c r="O18" s="183"/>
      <c r="P18" s="188"/>
      <c r="Q18" s="188"/>
      <c r="R18" s="14">
        <f>IF(C18=$AA$70,1,0)</f>
        <v>0</v>
      </c>
      <c r="S18" s="14">
        <f>IF(E18=$AA$70,1,0)</f>
        <v>0</v>
      </c>
      <c r="T18" s="14">
        <f>IF(F18=$AA$70,1,0)</f>
        <v>0</v>
      </c>
      <c r="U18" s="14">
        <f>IF(H18=$AA$70,1,0)</f>
        <v>0</v>
      </c>
      <c r="W18" s="5"/>
      <c r="AA18" s="175" t="s">
        <v>52</v>
      </c>
      <c r="AB18" s="13" t="s">
        <v>10</v>
      </c>
      <c r="AC18" s="51" t="s">
        <v>64</v>
      </c>
      <c r="AD18" s="51" t="s">
        <v>65</v>
      </c>
      <c r="AE18" s="51" t="s">
        <v>66</v>
      </c>
      <c r="AF18" s="51" t="s">
        <v>67</v>
      </c>
      <c r="AG18" s="51" t="s">
        <v>68</v>
      </c>
      <c r="AH18" s="51" t="s">
        <v>69</v>
      </c>
      <c r="AI18" s="51" t="s">
        <v>70</v>
      </c>
      <c r="AJ18" s="51" t="s">
        <v>71</v>
      </c>
    </row>
    <row r="19" spans="1:39" ht="14.45" customHeight="1" x14ac:dyDescent="0.25">
      <c r="A19" s="293"/>
      <c r="B19" s="306"/>
      <c r="C19" s="307">
        <f>IFERROR(IF(C18=$AA$70,"nutná kalkulace",IF(C18="",0,IF(C18=$AA$49,0,VLOOKUP($S12,$W$53:$Y$67,3,0)))),"konfiguruj dveře")</f>
        <v>0</v>
      </c>
      <c r="D19" s="308"/>
      <c r="E19" s="56">
        <f>IFERROR(IF(E18=$AA$70,"nutná kalkulace",IF(E18="",0,IF(E18=$AA$49,0,VLOOKUP($S12,$W$53:$Y$67,3,0)))),"konfiguruj dveře")</f>
        <v>0</v>
      </c>
      <c r="F19" s="307">
        <f>IFERROR(IF(F18=$AA$70,"nutná kalkulace",IF(F18="",0,IF(F18=$AA$49,0,VLOOKUP($S12,$W$53:$Y$67,3,0)))),"konfiguruj dveře")</f>
        <v>0</v>
      </c>
      <c r="G19" s="308"/>
      <c r="H19" s="307">
        <f>IFERROR(IF(H18=$AA$70,"nutná kalkulace",IF(H18="",0,IF(H18=$AA$49,0,VLOOKUP($S12,$W$53:$Y$67,3,0)))),"konfiguruj dveře")</f>
        <v>0</v>
      </c>
      <c r="I19" s="308"/>
      <c r="J19" s="318"/>
      <c r="K19" s="38" t="str">
        <f>IFERROR(IF(K18=0,"",K17+K18),"")</f>
        <v/>
      </c>
      <c r="L19" s="168"/>
      <c r="M19" s="225"/>
      <c r="N19" s="182"/>
      <c r="O19" s="182"/>
      <c r="P19" s="189"/>
      <c r="Q19" s="189"/>
      <c r="S19" s="32"/>
      <c r="T19" s="32"/>
      <c r="U19" s="32"/>
      <c r="W19" s="5"/>
      <c r="AA19" s="175" t="s">
        <v>83</v>
      </c>
      <c r="AB19" s="11" t="s">
        <v>72</v>
      </c>
      <c r="AC19" t="s">
        <v>24</v>
      </c>
      <c r="AD19" t="s">
        <v>24</v>
      </c>
      <c r="AE19" t="s">
        <v>24</v>
      </c>
      <c r="AF19" t="s">
        <v>24</v>
      </c>
      <c r="AG19" t="s">
        <v>24</v>
      </c>
      <c r="AH19" t="s">
        <v>24</v>
      </c>
      <c r="AI19" t="s">
        <v>24</v>
      </c>
      <c r="AJ19" t="s">
        <v>24</v>
      </c>
    </row>
    <row r="20" spans="1:39" ht="26.25" thickBot="1" x14ac:dyDescent="0.3">
      <c r="A20" s="353"/>
      <c r="B20" s="101" t="s">
        <v>138</v>
      </c>
      <c r="C20" s="76"/>
      <c r="D20" s="361"/>
      <c r="E20" s="361"/>
      <c r="F20" s="361"/>
      <c r="G20" s="361"/>
      <c r="H20" s="361"/>
      <c r="I20" s="77" t="s">
        <v>136</v>
      </c>
      <c r="J20" s="78"/>
      <c r="K20" s="79" t="str">
        <f>IFERROR(IF(J20="","&lt;--  zadej množství",K19*J20),"")</f>
        <v>&lt;--  zadej množství</v>
      </c>
      <c r="L20" s="169"/>
      <c r="M20" s="226"/>
      <c r="N20" s="182"/>
      <c r="O20" s="182"/>
      <c r="P20" s="182"/>
      <c r="Q20" s="182"/>
      <c r="S20" s="32">
        <f>IF(ISNUMBER(K20),K20,0)</f>
        <v>0</v>
      </c>
      <c r="T20" s="32"/>
      <c r="U20" s="32"/>
      <c r="W20" s="5"/>
      <c r="AA20" s="175" t="s">
        <v>84</v>
      </c>
      <c r="AB20" s="11" t="s">
        <v>73</v>
      </c>
      <c r="AC20" t="s">
        <v>88</v>
      </c>
      <c r="AE20" t="s">
        <v>88</v>
      </c>
    </row>
    <row r="21" spans="1:39" ht="15.75" customHeight="1" thickBot="1" x14ac:dyDescent="0.3">
      <c r="A21" s="319" t="s">
        <v>139</v>
      </c>
      <c r="B21" s="354" t="s">
        <v>134</v>
      </c>
      <c r="C21" s="60" t="s">
        <v>56</v>
      </c>
      <c r="D21" s="35" t="s">
        <v>19</v>
      </c>
      <c r="E21" s="60" t="s">
        <v>55</v>
      </c>
      <c r="F21" s="60" t="s">
        <v>23</v>
      </c>
      <c r="G21" s="35" t="s">
        <v>21</v>
      </c>
      <c r="H21" s="35" t="s">
        <v>7</v>
      </c>
      <c r="I21" s="35" t="s">
        <v>22</v>
      </c>
      <c r="J21" s="35" t="s">
        <v>10</v>
      </c>
      <c r="K21" s="61" t="s">
        <v>164</v>
      </c>
      <c r="L21" s="162"/>
      <c r="M21" s="192"/>
      <c r="N21" s="182"/>
      <c r="O21" s="182"/>
      <c r="P21" s="182"/>
      <c r="Q21" s="182"/>
      <c r="S21" s="52" t="str">
        <f>CONCATENATE(G22,"_",H22)</f>
        <v>_</v>
      </c>
      <c r="U21" s="28"/>
      <c r="W21" s="5"/>
      <c r="AA21" s="175" t="s">
        <v>53</v>
      </c>
      <c r="AB21" s="11" t="s">
        <v>74</v>
      </c>
    </row>
    <row r="22" spans="1:39" ht="18.75" customHeight="1" thickBot="1" x14ac:dyDescent="0.3">
      <c r="A22" s="293"/>
      <c r="B22" s="297"/>
      <c r="C22" s="248"/>
      <c r="D22" s="248"/>
      <c r="E22" s="247"/>
      <c r="F22" s="247"/>
      <c r="G22" s="248"/>
      <c r="H22" s="248"/>
      <c r="I22" s="247"/>
      <c r="J22" s="248"/>
      <c r="K22" s="83"/>
      <c r="L22" s="142"/>
      <c r="M22" s="227"/>
      <c r="N22" s="190"/>
      <c r="O22" s="190"/>
      <c r="P22" s="191"/>
      <c r="Q22" s="191"/>
      <c r="R22" s="18"/>
      <c r="S22" s="20" t="str">
        <f>CONCATENATE(D22,F22)</f>
        <v/>
      </c>
      <c r="T22" s="30"/>
      <c r="U22" s="28"/>
      <c r="W22" s="5"/>
      <c r="AA22" s="175" t="s">
        <v>85</v>
      </c>
      <c r="AB22" s="11" t="s">
        <v>75</v>
      </c>
    </row>
    <row r="23" spans="1:39" ht="15.6" customHeight="1" thickBot="1" x14ac:dyDescent="0.3">
      <c r="A23" s="293"/>
      <c r="B23" s="297"/>
      <c r="C23" s="345" t="s">
        <v>89</v>
      </c>
      <c r="D23" s="346"/>
      <c r="E23" s="85" t="s">
        <v>93</v>
      </c>
      <c r="F23" s="345" t="s">
        <v>95</v>
      </c>
      <c r="G23" s="346"/>
      <c r="H23" s="345" t="s">
        <v>96</v>
      </c>
      <c r="I23" s="356"/>
      <c r="J23" s="113" t="s">
        <v>128</v>
      </c>
      <c r="K23" s="86" t="str">
        <f>IFERROR(VLOOKUP(S24,'ceny pro 1-7'!$P$5:$Q$164,2,0),"")</f>
        <v/>
      </c>
      <c r="L23" s="163"/>
      <c r="M23" s="228"/>
      <c r="N23" s="192"/>
      <c r="O23" s="192"/>
      <c r="P23" s="193"/>
      <c r="Q23" s="193"/>
      <c r="S23" t="e">
        <f>VLOOKUP(K22,$AD$45:$AE$54,2,0)</f>
        <v>#N/A</v>
      </c>
      <c r="T23">
        <f>IF(C22=$AD$40,"DD5",C22)</f>
        <v>0</v>
      </c>
      <c r="U23" s="33"/>
      <c r="W23" s="7"/>
      <c r="X23" s="8"/>
      <c r="Y23" s="8"/>
      <c r="Z23" s="8"/>
      <c r="AA23" s="176" t="s">
        <v>86</v>
      </c>
      <c r="AB23" s="11" t="s">
        <v>76</v>
      </c>
      <c r="AE23" s="12"/>
    </row>
    <row r="24" spans="1:39" ht="18.75" customHeight="1" thickBot="1" x14ac:dyDescent="0.3">
      <c r="A24" s="293"/>
      <c r="B24" s="297"/>
      <c r="C24" s="347"/>
      <c r="D24" s="348"/>
      <c r="E24" s="172"/>
      <c r="F24" s="343"/>
      <c r="G24" s="344"/>
      <c r="H24" s="303"/>
      <c r="I24" s="303"/>
      <c r="J24" s="303"/>
      <c r="K24" s="87" t="s">
        <v>190</v>
      </c>
      <c r="L24" s="164"/>
      <c r="M24" s="229"/>
      <c r="N24" s="185" t="s">
        <v>235</v>
      </c>
      <c r="O24" s="185" t="s">
        <v>235</v>
      </c>
      <c r="P24" s="185" t="s">
        <v>235</v>
      </c>
      <c r="Q24" s="185"/>
      <c r="S24" s="80" t="e">
        <f>CONCATENATE(D22,F22,T23,S23)</f>
        <v>#N/A</v>
      </c>
      <c r="T24" s="80"/>
      <c r="AB24" s="11" t="s">
        <v>77</v>
      </c>
    </row>
    <row r="25" spans="1:39" ht="15.6" customHeight="1" x14ac:dyDescent="0.25">
      <c r="A25" s="293"/>
      <c r="B25" s="355"/>
      <c r="C25" s="349">
        <f>IF(F22=$W$26,IF(C24=$AA$31,500,IF(C24=$AA$32,1000,0)),IF(C24=$AA$31,1000,IF(C24=$AA$32,2000,0)))</f>
        <v>0</v>
      </c>
      <c r="D25" s="350"/>
      <c r="E25" s="173">
        <f>IF(E24="",0,IF(F22=W35,IF(E24=$W$35,0,450),IF(E24=$W$35,0,900)))</f>
        <v>0</v>
      </c>
      <c r="F25" s="357">
        <f>IF(F22=$W$26,IF(F24=$W$44,150,IF(F24=$W$45,150,IF(F24=$W$46,90,0))),IF(F24=$W$44,300,IF(F24=$W$45,300,IF(F24=$W$46,180,0))))</f>
        <v>0</v>
      </c>
      <c r="G25" s="358"/>
      <c r="H25" s="314">
        <f>IFERROR(VLOOKUP(H24,$AA$35:$AB$45,2,0),0)</f>
        <v>0</v>
      </c>
      <c r="I25" s="315"/>
      <c r="J25" s="316"/>
      <c r="K25" s="75">
        <f>SUM(C25:I25)</f>
        <v>0</v>
      </c>
      <c r="L25" s="165"/>
      <c r="M25" s="230"/>
      <c r="N25" s="187" t="s">
        <v>232</v>
      </c>
      <c r="O25" s="187" t="s">
        <v>233</v>
      </c>
      <c r="P25" s="187" t="s">
        <v>234</v>
      </c>
      <c r="Q25" s="187"/>
      <c r="S25" s="33"/>
      <c r="T25" s="33"/>
      <c r="U25" s="33"/>
      <c r="W25" s="9" t="s">
        <v>23</v>
      </c>
      <c r="X25" s="9" t="s">
        <v>59</v>
      </c>
      <c r="Y25" s="9" t="s">
        <v>20</v>
      </c>
      <c r="Z25" s="9"/>
      <c r="AA25" s="16" t="s">
        <v>22</v>
      </c>
      <c r="AB25" s="11" t="s">
        <v>78</v>
      </c>
    </row>
    <row r="26" spans="1:39" ht="28.15" customHeight="1" thickBot="1" x14ac:dyDescent="0.3">
      <c r="A26" s="293"/>
      <c r="B26" s="304" t="s">
        <v>135</v>
      </c>
      <c r="C26" s="320" t="s">
        <v>126</v>
      </c>
      <c r="D26" s="320"/>
      <c r="E26" s="66" t="s">
        <v>124</v>
      </c>
      <c r="F26" s="359" t="s">
        <v>125</v>
      </c>
      <c r="G26" s="360"/>
      <c r="H26" s="321" t="s">
        <v>127</v>
      </c>
      <c r="I26" s="322"/>
      <c r="J26" s="73" t="s">
        <v>132</v>
      </c>
      <c r="K26" s="74" t="str">
        <f>IFERROR(K23+K25,"")</f>
        <v/>
      </c>
      <c r="L26" s="166"/>
      <c r="M26" s="231"/>
      <c r="N26" s="194"/>
      <c r="O26" s="194"/>
      <c r="P26" s="195"/>
      <c r="Q26" s="195"/>
      <c r="S26" s="32"/>
      <c r="T26" s="32"/>
      <c r="W26" t="s">
        <v>59</v>
      </c>
      <c r="X26" s="1">
        <v>60</v>
      </c>
      <c r="Y26" s="1">
        <v>125</v>
      </c>
      <c r="Z26" s="1"/>
      <c r="AA26" s="1" t="s">
        <v>9</v>
      </c>
      <c r="AB26" s="11" t="s">
        <v>79</v>
      </c>
      <c r="AM26" s="6"/>
    </row>
    <row r="27" spans="1:39" ht="18.75" customHeight="1" thickBot="1" x14ac:dyDescent="0.3">
      <c r="A27" s="293"/>
      <c r="B27" s="305"/>
      <c r="C27" s="303"/>
      <c r="D27" s="303"/>
      <c r="E27" s="172"/>
      <c r="F27" s="343"/>
      <c r="G27" s="344"/>
      <c r="H27" s="309"/>
      <c r="I27" s="309"/>
      <c r="J27" s="317" t="s">
        <v>133</v>
      </c>
      <c r="K27" s="68">
        <f>IF(SUM(R27:U27)&gt;0,"kalkulace",SUM(C28:I28))</f>
        <v>0</v>
      </c>
      <c r="L27" s="167"/>
      <c r="M27" s="232"/>
      <c r="N27" s="182"/>
      <c r="O27" s="182"/>
      <c r="P27" s="196"/>
      <c r="Q27" s="196"/>
      <c r="R27" s="14">
        <f>IF(C27=$AA$70,1,0)</f>
        <v>0</v>
      </c>
      <c r="S27" s="14">
        <f>IF(E27=$AA$70,1,0)</f>
        <v>0</v>
      </c>
      <c r="T27" s="14">
        <f>IF(F27=$AA$70,1,0)</f>
        <v>0</v>
      </c>
      <c r="U27" s="14">
        <f>IF(H27=$AA$70,1,0)</f>
        <v>0</v>
      </c>
      <c r="W27" t="s">
        <v>20</v>
      </c>
      <c r="X27" s="1">
        <v>70</v>
      </c>
      <c r="Y27" s="1">
        <v>145</v>
      </c>
      <c r="Z27" s="1"/>
      <c r="AA27" s="1" t="s">
        <v>8</v>
      </c>
      <c r="AM27" s="6"/>
    </row>
    <row r="28" spans="1:39" ht="15" customHeight="1" x14ac:dyDescent="0.25">
      <c r="A28" s="293"/>
      <c r="B28" s="306"/>
      <c r="C28" s="307">
        <f>IFERROR(IF(C27=$AA$70,"nutná kalkulace",IF(C27="",0,IF(C27=$AA$49,0,VLOOKUP($S21,$W$53:$Y$67,3,0)))),"konfiguruj dveře")</f>
        <v>0</v>
      </c>
      <c r="D28" s="308"/>
      <c r="E28" s="171">
        <f>IFERROR(IF(E27=$AA$70,"nutná kalkulace",IF(E27="",0,IF(E27=$AA$49,0,VLOOKUP($S21,$W$53:$Y$67,3,0)))),"konfiguruj dveře")</f>
        <v>0</v>
      </c>
      <c r="F28" s="307">
        <f>IFERROR(IF(F27=$AA$70,"nutná kalkulace",IF(F27="",0,IF(F27=$AA$49,0,VLOOKUP($S21,$W$53:$Y$67,3,0)))),"konfiguruj dveře")</f>
        <v>0</v>
      </c>
      <c r="G28" s="308"/>
      <c r="H28" s="307">
        <f>IFERROR(IF(H27=$AA$70,"nutná kalkulace",IF(H27="",0,IF(H27=$AA$49,0,VLOOKUP($S21,$W$53:$Y$67,3,0)))),"konfiguruj dveře")</f>
        <v>0</v>
      </c>
      <c r="I28" s="308"/>
      <c r="J28" s="318"/>
      <c r="K28" s="38" t="str">
        <f>IFERROR(IF(K27=0,"",K26+K27),"")</f>
        <v/>
      </c>
      <c r="L28" s="168"/>
      <c r="M28" s="233"/>
      <c r="N28" s="195"/>
      <c r="O28" s="195"/>
      <c r="P28" s="197"/>
      <c r="Q28" s="197"/>
      <c r="S28" s="32"/>
      <c r="T28" s="32"/>
      <c r="U28" s="32"/>
      <c r="X28" s="1">
        <v>80</v>
      </c>
      <c r="AM28" s="6"/>
    </row>
    <row r="29" spans="1:39" ht="27" customHeight="1" thickBot="1" x14ac:dyDescent="0.3">
      <c r="A29" s="353"/>
      <c r="B29" s="101" t="s">
        <v>138</v>
      </c>
      <c r="C29" s="76"/>
      <c r="D29" s="361"/>
      <c r="E29" s="361"/>
      <c r="F29" s="361"/>
      <c r="G29" s="361"/>
      <c r="H29" s="361"/>
      <c r="I29" s="77" t="s">
        <v>136</v>
      </c>
      <c r="J29" s="78"/>
      <c r="K29" s="79" t="str">
        <f>IFERROR(IF(J29="","&lt;--  zadej množství",K28*J29),"")</f>
        <v>&lt;--  zadej množství</v>
      </c>
      <c r="L29" s="169"/>
      <c r="M29" s="226"/>
      <c r="N29" s="196"/>
      <c r="O29" s="196"/>
      <c r="P29" s="190"/>
      <c r="Q29" s="190"/>
      <c r="S29" s="32">
        <f>IF(ISNUMBER(K29),K29,0)</f>
        <v>0</v>
      </c>
      <c r="T29" s="32"/>
      <c r="U29" s="32"/>
      <c r="X29" s="1">
        <v>90</v>
      </c>
      <c r="AA29" s="15" t="s">
        <v>4</v>
      </c>
      <c r="AC29" s="15" t="s">
        <v>32</v>
      </c>
      <c r="AF29" s="1">
        <v>60</v>
      </c>
      <c r="AI29" s="31"/>
      <c r="AM29" s="6"/>
    </row>
    <row r="30" spans="1:39" ht="15" customHeight="1" thickBot="1" x14ac:dyDescent="0.3">
      <c r="A30" s="319" t="s">
        <v>201</v>
      </c>
      <c r="B30" s="354" t="s">
        <v>134</v>
      </c>
      <c r="C30" s="60" t="s">
        <v>56</v>
      </c>
      <c r="D30" s="35" t="s">
        <v>19</v>
      </c>
      <c r="E30" s="60" t="s">
        <v>55</v>
      </c>
      <c r="F30" s="60" t="s">
        <v>23</v>
      </c>
      <c r="G30" s="35" t="s">
        <v>21</v>
      </c>
      <c r="H30" s="35" t="s">
        <v>7</v>
      </c>
      <c r="I30" s="35" t="s">
        <v>22</v>
      </c>
      <c r="J30" s="35" t="s">
        <v>10</v>
      </c>
      <c r="K30" s="61" t="s">
        <v>164</v>
      </c>
      <c r="L30" s="162"/>
      <c r="M30" s="192"/>
      <c r="N30" s="197"/>
      <c r="O30" s="197"/>
      <c r="P30" s="192"/>
      <c r="Q30" s="192"/>
      <c r="S30" s="52" t="str">
        <f>CONCATENATE(G31,"_",H31)</f>
        <v>_</v>
      </c>
      <c r="U30" s="28"/>
      <c r="X30" s="1">
        <v>110</v>
      </c>
      <c r="AA30" s="1" t="s">
        <v>31</v>
      </c>
      <c r="AB30" s="3">
        <v>0</v>
      </c>
      <c r="AC30" s="1" t="s">
        <v>92</v>
      </c>
      <c r="AD30" s="3">
        <v>0</v>
      </c>
      <c r="AF30" s="1">
        <v>70</v>
      </c>
      <c r="AI30" s="31"/>
    </row>
    <row r="31" spans="1:39" ht="18.75" customHeight="1" thickBot="1" x14ac:dyDescent="0.3">
      <c r="A31" s="293"/>
      <c r="B31" s="297"/>
      <c r="C31" s="174"/>
      <c r="D31" s="174"/>
      <c r="E31" s="172"/>
      <c r="F31" s="172"/>
      <c r="G31" s="174"/>
      <c r="H31" s="174"/>
      <c r="I31" s="172"/>
      <c r="J31" s="174"/>
      <c r="K31" s="83"/>
      <c r="L31" s="142"/>
      <c r="M31" s="227"/>
      <c r="N31" s="190"/>
      <c r="O31" s="190"/>
      <c r="P31" s="191"/>
      <c r="Q31" s="191"/>
      <c r="R31" s="18"/>
      <c r="S31" s="20" t="str">
        <f>CONCATENATE(D31,F31)</f>
        <v/>
      </c>
      <c r="T31" s="30"/>
      <c r="U31" s="28"/>
      <c r="AA31" s="1" t="s">
        <v>90</v>
      </c>
      <c r="AB31" s="3">
        <v>500</v>
      </c>
      <c r="AC31" s="1" t="s">
        <v>33</v>
      </c>
      <c r="AD31" s="3">
        <v>290</v>
      </c>
      <c r="AF31" s="1">
        <v>80</v>
      </c>
      <c r="AI31" s="31"/>
    </row>
    <row r="32" spans="1:39" ht="15" customHeight="1" thickBot="1" x14ac:dyDescent="0.3">
      <c r="A32" s="293"/>
      <c r="B32" s="297"/>
      <c r="C32" s="345" t="s">
        <v>89</v>
      </c>
      <c r="D32" s="346"/>
      <c r="E32" s="85" t="s">
        <v>93</v>
      </c>
      <c r="F32" s="345" t="s">
        <v>95</v>
      </c>
      <c r="G32" s="346"/>
      <c r="H32" s="345" t="s">
        <v>96</v>
      </c>
      <c r="I32" s="356"/>
      <c r="J32" s="113" t="s">
        <v>128</v>
      </c>
      <c r="K32" s="86" t="str">
        <f>IFERROR(VLOOKUP(S33,'ceny pro 1-7'!$P$5:$Q$164,2,0),"")</f>
        <v/>
      </c>
      <c r="L32" s="163"/>
      <c r="M32" s="228"/>
      <c r="N32" s="192"/>
      <c r="O32" s="192"/>
      <c r="P32" s="193"/>
      <c r="Q32" s="193"/>
      <c r="S32" t="e">
        <f>VLOOKUP(K31,$AD$45:$AE$54,2,0)</f>
        <v>#N/A</v>
      </c>
      <c r="T32">
        <f>IF(C31=$AD$40,"DD5",C31)</f>
        <v>0</v>
      </c>
      <c r="U32" s="33"/>
      <c r="AA32" s="1" t="s">
        <v>91</v>
      </c>
      <c r="AB32" s="3">
        <v>1000</v>
      </c>
      <c r="AF32" s="1">
        <v>90</v>
      </c>
      <c r="AI32" s="31"/>
    </row>
    <row r="33" spans="1:35" ht="18.75" customHeight="1" thickBot="1" x14ac:dyDescent="0.3">
      <c r="A33" s="293"/>
      <c r="B33" s="297"/>
      <c r="C33" s="347"/>
      <c r="D33" s="348"/>
      <c r="E33" s="172"/>
      <c r="F33" s="343"/>
      <c r="G33" s="344"/>
      <c r="H33" s="303"/>
      <c r="I33" s="303"/>
      <c r="J33" s="303"/>
      <c r="K33" s="87" t="s">
        <v>190</v>
      </c>
      <c r="L33" s="164"/>
      <c r="M33" s="142"/>
      <c r="N33" s="143"/>
      <c r="O33" s="143"/>
      <c r="P33" s="143"/>
      <c r="Q33" s="143"/>
      <c r="S33" s="80" t="e">
        <f>CONCATENATE(D31,F31,T32,S32)</f>
        <v>#N/A</v>
      </c>
      <c r="T33" s="80"/>
      <c r="AF33" s="1">
        <v>110</v>
      </c>
      <c r="AI33" s="31"/>
    </row>
    <row r="34" spans="1:35" ht="15" customHeight="1" x14ac:dyDescent="0.25">
      <c r="A34" s="293"/>
      <c r="B34" s="355"/>
      <c r="C34" s="349">
        <f>IF(F31=$W$26,IF(C33=$AA$31,500,IF(C33=$AA$32,1000,0)),IF(C33=$AA$31,1000,IF(C33=$AA$32,2000,0)))</f>
        <v>0</v>
      </c>
      <c r="D34" s="350"/>
      <c r="E34" s="173">
        <f>IF(E33="",0,IF(F31=W44,IF(E33=$W$35,0,450),IF(E33=$W$35,0,900)))</f>
        <v>0</v>
      </c>
      <c r="F34" s="357">
        <f>IF(F31=$W$26,IF(F33=$W$44,150,IF(F33=$W$45,150,IF(F33=$W$46,90,0))),IF(F33=$W$44,300,IF(F33=$W$45,300,IF(F33=$W$46,180,0))))</f>
        <v>0</v>
      </c>
      <c r="G34" s="358"/>
      <c r="H34" s="314">
        <f>IFERROR(VLOOKUP(H33,$AA$35:$AB$45,2,0),0)</f>
        <v>0</v>
      </c>
      <c r="I34" s="315"/>
      <c r="J34" s="316"/>
      <c r="K34" s="75">
        <f>SUM(C34:I34)</f>
        <v>0</v>
      </c>
      <c r="L34" s="165"/>
      <c r="M34" s="143"/>
      <c r="N34" s="144"/>
      <c r="O34" s="144"/>
      <c r="P34" s="144"/>
      <c r="Q34" s="144"/>
      <c r="S34" s="33"/>
      <c r="T34" s="33"/>
      <c r="U34" s="33"/>
      <c r="W34" s="15" t="s">
        <v>25</v>
      </c>
      <c r="AA34" s="15" t="s">
        <v>5</v>
      </c>
      <c r="AF34" s="1">
        <v>125</v>
      </c>
      <c r="AI34" s="31"/>
    </row>
    <row r="35" spans="1:35" ht="28.15" customHeight="1" thickBot="1" x14ac:dyDescent="0.3">
      <c r="A35" s="293"/>
      <c r="B35" s="304" t="s">
        <v>135</v>
      </c>
      <c r="C35" s="320" t="s">
        <v>126</v>
      </c>
      <c r="D35" s="320"/>
      <c r="E35" s="66" t="s">
        <v>124</v>
      </c>
      <c r="F35" s="359" t="s">
        <v>125</v>
      </c>
      <c r="G35" s="360"/>
      <c r="H35" s="321" t="s">
        <v>127</v>
      </c>
      <c r="I35" s="322"/>
      <c r="J35" s="73" t="s">
        <v>132</v>
      </c>
      <c r="K35" s="74" t="str">
        <f>IFERROR(K32+K34,"")</f>
        <v/>
      </c>
      <c r="L35" s="166"/>
      <c r="M35" s="144"/>
      <c r="N35" s="142"/>
      <c r="O35" s="142"/>
      <c r="P35" s="142"/>
      <c r="Q35" s="142"/>
      <c r="S35" s="32"/>
      <c r="T35" s="32"/>
      <c r="W35" s="27" t="s">
        <v>94</v>
      </c>
      <c r="X35" s="29">
        <v>0</v>
      </c>
      <c r="AA35" s="27" t="s">
        <v>36</v>
      </c>
      <c r="AB35" s="3">
        <v>0</v>
      </c>
      <c r="AD35" s="72" t="s">
        <v>56</v>
      </c>
      <c r="AF35" s="1">
        <v>145</v>
      </c>
      <c r="AI35" s="31"/>
    </row>
    <row r="36" spans="1:35" ht="18.75" customHeight="1" thickBot="1" x14ac:dyDescent="0.3">
      <c r="A36" s="293"/>
      <c r="B36" s="305"/>
      <c r="C36" s="303"/>
      <c r="D36" s="303"/>
      <c r="E36" s="172"/>
      <c r="F36" s="343"/>
      <c r="G36" s="344"/>
      <c r="H36" s="309"/>
      <c r="I36" s="309"/>
      <c r="J36" s="317" t="s">
        <v>133</v>
      </c>
      <c r="K36" s="68">
        <f>IF(SUM(R36:U36)&gt;0,"kalkulace",SUM(C37:I37))</f>
        <v>0</v>
      </c>
      <c r="L36" s="167"/>
      <c r="M36" s="145"/>
      <c r="N36" s="143"/>
      <c r="O36" s="143"/>
      <c r="P36" s="143"/>
      <c r="Q36" s="143"/>
      <c r="R36" s="14">
        <f>IF(C36=$AA$70,1,0)</f>
        <v>0</v>
      </c>
      <c r="S36" s="14">
        <f>IF(E36=$AA$70,1,0)</f>
        <v>0</v>
      </c>
      <c r="T36" s="14">
        <f>IF(F36=$AA$70,1,0)</f>
        <v>0</v>
      </c>
      <c r="U36" s="14">
        <f>IF(H36=$AA$70,1,0)</f>
        <v>0</v>
      </c>
      <c r="W36" s="27" t="s">
        <v>29</v>
      </c>
      <c r="X36" s="29">
        <v>450</v>
      </c>
      <c r="AA36" s="27" t="s">
        <v>37</v>
      </c>
      <c r="AB36" s="3">
        <v>80</v>
      </c>
      <c r="AD36" t="s">
        <v>230</v>
      </c>
      <c r="AI36" s="31"/>
    </row>
    <row r="37" spans="1:35" x14ac:dyDescent="0.25">
      <c r="A37" s="293"/>
      <c r="B37" s="306"/>
      <c r="C37" s="307">
        <f>IFERROR(IF(C36=$AA$70,"nutná kalkulace",IF(C36="",0,IF(C36=$AA$49,0,VLOOKUP($S30,$W$53:$Y$67,3,0)))),"konfiguruj dveře")</f>
        <v>0</v>
      </c>
      <c r="D37" s="308"/>
      <c r="E37" s="171">
        <f>IFERROR(IF(E36=$AA$70,"nutná kalkulace",IF(E36="",0,IF(E36=$AA$49,0,VLOOKUP($S30,$W$53:$Y$67,3,0)))),"konfiguruj dveře")</f>
        <v>0</v>
      </c>
      <c r="F37" s="307">
        <f>IFERROR(IF(F36=$AA$70,"nutná kalkulace",IF(F36="",0,IF(F36=$AA$49,0,VLOOKUP($S30,$W$53:$Y$67,3,0)))),"konfiguruj dveře")</f>
        <v>0</v>
      </c>
      <c r="G37" s="308"/>
      <c r="H37" s="307">
        <f>IFERROR(IF(H36=$AA$70,"nutná kalkulace",IF(H36="",0,IF(H36=$AA$49,0,VLOOKUP($S30,$W$53:$Y$67,3,0)))),"konfiguruj dveře")</f>
        <v>0</v>
      </c>
      <c r="I37" s="308"/>
      <c r="J37" s="318"/>
      <c r="K37" s="38" t="str">
        <f>IFERROR(IF(K36=0,"",K35+K36),"")</f>
        <v/>
      </c>
      <c r="L37" s="168"/>
      <c r="M37" s="146"/>
      <c r="N37" s="144"/>
      <c r="O37" s="144"/>
      <c r="P37" s="144"/>
      <c r="Q37" s="144"/>
      <c r="S37" s="32"/>
      <c r="T37" s="32"/>
      <c r="U37" s="32"/>
      <c r="W37" s="27" t="s">
        <v>27</v>
      </c>
      <c r="X37" s="29">
        <v>450</v>
      </c>
      <c r="AA37" s="27" t="s">
        <v>38</v>
      </c>
      <c r="AB37" s="3">
        <v>0</v>
      </c>
      <c r="AD37" t="s">
        <v>231</v>
      </c>
      <c r="AI37" s="31"/>
    </row>
    <row r="38" spans="1:35" ht="27" customHeight="1" thickBot="1" x14ac:dyDescent="0.3">
      <c r="A38" s="353"/>
      <c r="B38" s="101" t="s">
        <v>138</v>
      </c>
      <c r="C38" s="76"/>
      <c r="D38" s="361"/>
      <c r="E38" s="361"/>
      <c r="F38" s="361"/>
      <c r="G38" s="361"/>
      <c r="H38" s="361"/>
      <c r="I38" s="77" t="s">
        <v>136</v>
      </c>
      <c r="J38" s="78"/>
      <c r="K38" s="79" t="str">
        <f>IFERROR(IF(J38="","&lt;--  zadej množství",K37*J38),"")</f>
        <v>&lt;--  zadej množství</v>
      </c>
      <c r="L38" s="169"/>
      <c r="M38" s="147"/>
      <c r="N38" s="145"/>
      <c r="O38" s="145"/>
      <c r="P38" s="145"/>
      <c r="Q38" s="145"/>
      <c r="S38" s="32">
        <f>IF(ISNUMBER(K38),K38,0)</f>
        <v>0</v>
      </c>
      <c r="T38" s="32"/>
      <c r="U38" s="32"/>
      <c r="W38" s="27" t="s">
        <v>30</v>
      </c>
      <c r="X38" s="29">
        <v>450</v>
      </c>
      <c r="AA38" s="27" t="s">
        <v>39</v>
      </c>
      <c r="AB38" s="3">
        <v>0</v>
      </c>
      <c r="AD38" t="s">
        <v>232</v>
      </c>
      <c r="AI38" s="31"/>
    </row>
    <row r="39" spans="1:35" ht="22.9" customHeight="1" thickBot="1" x14ac:dyDescent="0.3">
      <c r="F39" s="116" t="s">
        <v>210</v>
      </c>
      <c r="G39" s="117"/>
      <c r="H39" s="117"/>
      <c r="I39" s="119" t="s">
        <v>136</v>
      </c>
      <c r="J39" s="107">
        <f>J20+J29+J38</f>
        <v>0</v>
      </c>
      <c r="K39" s="108">
        <f>S38+S29+S20</f>
        <v>0</v>
      </c>
      <c r="L39" s="166"/>
      <c r="M39" s="148"/>
      <c r="N39" s="146"/>
      <c r="O39" s="146"/>
      <c r="P39" s="146"/>
      <c r="Q39" s="146"/>
      <c r="W39" s="27" t="s">
        <v>26</v>
      </c>
      <c r="X39" s="29">
        <v>450</v>
      </c>
      <c r="AA39" s="27" t="s">
        <v>40</v>
      </c>
      <c r="AB39" s="3">
        <v>80</v>
      </c>
      <c r="AD39" t="s">
        <v>233</v>
      </c>
      <c r="AI39" s="31"/>
    </row>
    <row r="40" spans="1:35" x14ac:dyDescent="0.25">
      <c r="E40" s="98"/>
      <c r="F40" s="106"/>
      <c r="G40" s="106"/>
      <c r="H40" s="106"/>
      <c r="I40" s="106"/>
      <c r="J40" s="106"/>
      <c r="K40" s="109" t="s">
        <v>202</v>
      </c>
      <c r="L40" s="170"/>
      <c r="M40" s="149"/>
      <c r="N40" s="147"/>
      <c r="O40" s="147"/>
      <c r="P40" s="147"/>
      <c r="Q40" s="147"/>
      <c r="W40" s="27" t="s">
        <v>28</v>
      </c>
      <c r="X40" s="29">
        <v>450</v>
      </c>
      <c r="AA40" s="27" t="s">
        <v>41</v>
      </c>
      <c r="AB40" s="3">
        <v>0</v>
      </c>
      <c r="AD40" t="s">
        <v>234</v>
      </c>
      <c r="AI40" s="31"/>
    </row>
    <row r="41" spans="1:35" x14ac:dyDescent="0.25">
      <c r="K41" s="240" t="s">
        <v>221</v>
      </c>
      <c r="L41" s="246"/>
      <c r="M41" s="146"/>
      <c r="N41" s="148"/>
      <c r="O41" s="148"/>
      <c r="P41" s="148"/>
      <c r="Q41" s="148"/>
      <c r="AA41" s="27" t="s">
        <v>42</v>
      </c>
      <c r="AB41" s="3">
        <v>650</v>
      </c>
      <c r="AI41" s="31"/>
    </row>
    <row r="42" spans="1:35" x14ac:dyDescent="0.25">
      <c r="M42" s="150"/>
      <c r="N42" s="149"/>
      <c r="O42" s="149"/>
      <c r="P42" s="149"/>
      <c r="Q42" s="149"/>
      <c r="AA42" s="27" t="s">
        <v>43</v>
      </c>
      <c r="AB42" s="3">
        <v>650</v>
      </c>
      <c r="AI42" s="31"/>
    </row>
    <row r="43" spans="1:35" ht="15.75" thickBot="1" x14ac:dyDescent="0.3">
      <c r="N43" s="146"/>
      <c r="O43" s="146"/>
      <c r="P43" s="146"/>
      <c r="Q43" s="146"/>
      <c r="W43" s="15" t="s">
        <v>6</v>
      </c>
      <c r="AA43" s="27" t="s">
        <v>44</v>
      </c>
      <c r="AB43" s="3">
        <v>650</v>
      </c>
      <c r="AI43" s="31"/>
    </row>
    <row r="44" spans="1:35" ht="15.75" thickBot="1" x14ac:dyDescent="0.3">
      <c r="A44" s="319" t="s">
        <v>206</v>
      </c>
      <c r="B44" s="354" t="s">
        <v>134</v>
      </c>
      <c r="C44" s="60" t="s">
        <v>56</v>
      </c>
      <c r="D44" s="35" t="s">
        <v>19</v>
      </c>
      <c r="E44" s="60" t="s">
        <v>55</v>
      </c>
      <c r="F44" s="60" t="s">
        <v>23</v>
      </c>
      <c r="G44" s="35" t="s">
        <v>21</v>
      </c>
      <c r="H44" s="35" t="s">
        <v>7</v>
      </c>
      <c r="I44" s="35" t="s">
        <v>22</v>
      </c>
      <c r="J44" s="35" t="s">
        <v>10</v>
      </c>
      <c r="K44" s="61" t="s">
        <v>164</v>
      </c>
      <c r="L44" s="162"/>
      <c r="N44" s="150"/>
      <c r="O44" s="150"/>
      <c r="P44" s="150"/>
      <c r="Q44" s="150"/>
      <c r="S44" s="52" t="str">
        <f>CONCATENATE(G45,"_",H45)</f>
        <v>_</v>
      </c>
      <c r="U44" s="28"/>
      <c r="W44" s="27" t="s">
        <v>34</v>
      </c>
      <c r="X44" s="29">
        <v>150</v>
      </c>
      <c r="AA44" s="27" t="s">
        <v>129</v>
      </c>
      <c r="AB44" s="3">
        <v>650</v>
      </c>
      <c r="AD44" s="72" t="s">
        <v>165</v>
      </c>
      <c r="AI44" s="31"/>
    </row>
    <row r="45" spans="1:35" ht="16.5" customHeight="1" thickBot="1" x14ac:dyDescent="0.3">
      <c r="A45" s="293"/>
      <c r="B45" s="297"/>
      <c r="C45" s="174"/>
      <c r="D45" s="174"/>
      <c r="E45" s="172"/>
      <c r="F45" s="172"/>
      <c r="G45" s="174"/>
      <c r="H45" s="174"/>
      <c r="I45" s="172"/>
      <c r="J45" s="174"/>
      <c r="K45" s="83"/>
      <c r="L45" s="142"/>
      <c r="R45" s="18"/>
      <c r="S45" s="20" t="str">
        <f>CONCATENATE(D45,F45)</f>
        <v/>
      </c>
      <c r="T45" s="30"/>
      <c r="U45" s="28"/>
      <c r="W45" s="27" t="s">
        <v>35</v>
      </c>
      <c r="X45" s="29">
        <v>150</v>
      </c>
      <c r="AA45" s="27" t="s">
        <v>45</v>
      </c>
      <c r="AB45" s="3">
        <v>0</v>
      </c>
      <c r="AD45" t="s">
        <v>174</v>
      </c>
      <c r="AE45" t="s">
        <v>166</v>
      </c>
      <c r="AI45" s="31"/>
    </row>
    <row r="46" spans="1:35" ht="15.75" thickBot="1" x14ac:dyDescent="0.3">
      <c r="A46" s="293"/>
      <c r="B46" s="297"/>
      <c r="C46" s="345" t="s">
        <v>89</v>
      </c>
      <c r="D46" s="346"/>
      <c r="E46" s="85" t="s">
        <v>93</v>
      </c>
      <c r="F46" s="345" t="s">
        <v>95</v>
      </c>
      <c r="G46" s="346"/>
      <c r="H46" s="345" t="s">
        <v>96</v>
      </c>
      <c r="I46" s="356"/>
      <c r="J46" s="113" t="s">
        <v>128</v>
      </c>
      <c r="K46" s="86" t="str">
        <f>IFERROR(VLOOKUP(S47,'ceny pro 1-7'!$P$5:$Q$164,2,0),"")</f>
        <v/>
      </c>
      <c r="L46" s="163"/>
      <c r="M46" s="141"/>
      <c r="S46" t="e">
        <f>VLOOKUP(K45,$AD$45:$AE$54,2,0)</f>
        <v>#N/A</v>
      </c>
      <c r="T46">
        <f>IF(C45=$AD$40,"DD5",C45)</f>
        <v>0</v>
      </c>
      <c r="U46" s="33"/>
      <c r="W46" s="27" t="s">
        <v>50</v>
      </c>
      <c r="X46" s="29">
        <v>90</v>
      </c>
      <c r="AD46" t="s">
        <v>173</v>
      </c>
      <c r="AE46" t="s">
        <v>166</v>
      </c>
      <c r="AI46" s="31"/>
    </row>
    <row r="47" spans="1:35" ht="16.5" customHeight="1" thickBot="1" x14ac:dyDescent="0.3">
      <c r="A47" s="293"/>
      <c r="B47" s="297"/>
      <c r="C47" s="347"/>
      <c r="D47" s="348"/>
      <c r="E47" s="172"/>
      <c r="F47" s="343"/>
      <c r="G47" s="344"/>
      <c r="H47" s="303"/>
      <c r="I47" s="303"/>
      <c r="J47" s="303"/>
      <c r="K47" s="87" t="s">
        <v>190</v>
      </c>
      <c r="L47" s="164"/>
      <c r="M47" s="142"/>
      <c r="S47" s="80" t="e">
        <f>CONCATENATE(D45,F45,T46,S46)</f>
        <v>#N/A</v>
      </c>
      <c r="T47" s="80"/>
      <c r="W47" s="27" t="s">
        <v>47</v>
      </c>
      <c r="X47" s="29">
        <v>0</v>
      </c>
      <c r="AD47" t="s">
        <v>172</v>
      </c>
      <c r="AE47" t="s">
        <v>166</v>
      </c>
      <c r="AI47" s="31"/>
    </row>
    <row r="48" spans="1:35" x14ac:dyDescent="0.25">
      <c r="A48" s="293"/>
      <c r="B48" s="355"/>
      <c r="C48" s="349">
        <f>IF(F45=$W$26,IF(C47=$AA$31,500,IF(C47=$AA$32,1000,0)),IF(C47=$AA$31,1000,IF(C47=$AA$32,2000,0)))</f>
        <v>0</v>
      </c>
      <c r="D48" s="350"/>
      <c r="E48" s="173">
        <f>IF(E47="",0,IF(F45=W58,IF(E47=$W$35,0,450),IF(E47=$W$35,0,900)))</f>
        <v>0</v>
      </c>
      <c r="F48" s="357">
        <f>IF(F45=$W$26,IF(F47=$W$44,150,IF(F47=$W$45,150,IF(F47=$W$46,90,0))),IF(F47=$W$44,300,IF(F47=$W$45,300,IF(F47=$W$46,180,0))))</f>
        <v>0</v>
      </c>
      <c r="G48" s="358"/>
      <c r="H48" s="314">
        <f>IFERROR(VLOOKUP(H47,$AA$35:$AB$45,2,0),0)</f>
        <v>0</v>
      </c>
      <c r="I48" s="315"/>
      <c r="J48" s="316"/>
      <c r="K48" s="75">
        <f>SUM(C48:I48)</f>
        <v>0</v>
      </c>
      <c r="L48" s="165"/>
      <c r="M48" s="143"/>
      <c r="N48" s="141"/>
      <c r="O48" s="141"/>
      <c r="P48" s="141"/>
      <c r="Q48" s="141"/>
      <c r="S48" s="33"/>
      <c r="T48" s="33"/>
      <c r="U48" s="33"/>
      <c r="W48" s="27" t="s">
        <v>48</v>
      </c>
      <c r="X48" s="29">
        <v>0</v>
      </c>
      <c r="AA48" s="34" t="s">
        <v>123</v>
      </c>
      <c r="AB48" s="45"/>
      <c r="AD48" t="s">
        <v>171</v>
      </c>
      <c r="AE48" t="s">
        <v>166</v>
      </c>
      <c r="AI48" s="31"/>
    </row>
    <row r="49" spans="1:35" ht="26.25" thickBot="1" x14ac:dyDescent="0.3">
      <c r="A49" s="293"/>
      <c r="B49" s="304" t="s">
        <v>135</v>
      </c>
      <c r="C49" s="320" t="s">
        <v>126</v>
      </c>
      <c r="D49" s="320"/>
      <c r="E49" s="66" t="s">
        <v>124</v>
      </c>
      <c r="F49" s="359" t="s">
        <v>125</v>
      </c>
      <c r="G49" s="360"/>
      <c r="H49" s="321" t="s">
        <v>127</v>
      </c>
      <c r="I49" s="322"/>
      <c r="J49" s="73" t="s">
        <v>132</v>
      </c>
      <c r="K49" s="74" t="str">
        <f>IFERROR(K46+K48,"")</f>
        <v/>
      </c>
      <c r="L49" s="166"/>
      <c r="M49" s="144"/>
      <c r="N49" s="142"/>
      <c r="O49" s="142"/>
      <c r="P49" s="142"/>
      <c r="Q49" s="142"/>
      <c r="S49" s="32"/>
      <c r="T49" s="32"/>
      <c r="W49" s="27" t="s">
        <v>49</v>
      </c>
      <c r="X49" s="29">
        <v>0</v>
      </c>
      <c r="AA49" t="s">
        <v>226</v>
      </c>
      <c r="AB49" s="45"/>
      <c r="AD49" t="s">
        <v>177</v>
      </c>
      <c r="AE49" t="s">
        <v>167</v>
      </c>
      <c r="AI49" s="31"/>
    </row>
    <row r="50" spans="1:35" ht="16.5" customHeight="1" thickBot="1" x14ac:dyDescent="0.3">
      <c r="A50" s="293"/>
      <c r="B50" s="305"/>
      <c r="C50" s="303"/>
      <c r="D50" s="303"/>
      <c r="E50" s="172"/>
      <c r="F50" s="343"/>
      <c r="G50" s="344"/>
      <c r="H50" s="309"/>
      <c r="I50" s="309"/>
      <c r="J50" s="317" t="s">
        <v>133</v>
      </c>
      <c r="K50" s="68">
        <f>IF(SUM(R50:U50)&gt;0,"kalkulace",SUM(C51:I51))</f>
        <v>0</v>
      </c>
      <c r="L50" s="167"/>
      <c r="M50" s="145"/>
      <c r="N50" s="143"/>
      <c r="O50" s="143"/>
      <c r="P50" s="143"/>
      <c r="Q50" s="143"/>
      <c r="R50" s="14">
        <f>IF(C50=$AA$70,1,0)</f>
        <v>0</v>
      </c>
      <c r="S50" s="14">
        <f>IF(E50=$AA$70,1,0)</f>
        <v>0</v>
      </c>
      <c r="T50" s="14">
        <f>IF(F50=$AA$70,1,0)</f>
        <v>0</v>
      </c>
      <c r="U50" s="14">
        <f>IF(H50=$AA$70,1,0)</f>
        <v>0</v>
      </c>
      <c r="W50" s="27" t="s">
        <v>46</v>
      </c>
      <c r="X50" s="29">
        <v>0</v>
      </c>
      <c r="AA50" t="s">
        <v>404</v>
      </c>
      <c r="AB50" s="45"/>
      <c r="AD50" t="s">
        <v>176</v>
      </c>
      <c r="AE50" t="s">
        <v>167</v>
      </c>
      <c r="AI50" s="31"/>
    </row>
    <row r="51" spans="1:35" x14ac:dyDescent="0.25">
      <c r="A51" s="293"/>
      <c r="B51" s="306"/>
      <c r="C51" s="307">
        <f>IFERROR(IF(C50=$AA$70,"nutná kalkulace",IF(C50="",0,IF(C50=$AA$49,0,VLOOKUP($S44,$W$53:$Y$67,3,0)))),"konfiguruj dveře")</f>
        <v>0</v>
      </c>
      <c r="D51" s="308"/>
      <c r="E51" s="171">
        <f>IFERROR(IF(E50=$AA$70,"nutná kalkulace",IF(E50="",0,IF(E50=$AA$49,0,VLOOKUP($S44,$W$53:$Y$67,3,0)))),"konfiguruj dveře")</f>
        <v>0</v>
      </c>
      <c r="F51" s="307">
        <f>IFERROR(IF(F50=$AA$70,"nutná kalkulace",IF(F50="",0,IF(F50=$AA$49,0,VLOOKUP($S44,$W$53:$Y$67,3,0)))),"konfiguruj dveře")</f>
        <v>0</v>
      </c>
      <c r="G51" s="308"/>
      <c r="H51" s="307">
        <f>IFERROR(IF(H50=$AA$70,"nutná kalkulace",IF(H50="",0,IF(H50=$AA$49,0,VLOOKUP($S44,$W$53:$Y$67,3,0)))),"konfiguruj dveře")</f>
        <v>0</v>
      </c>
      <c r="I51" s="308"/>
      <c r="J51" s="318"/>
      <c r="K51" s="38" t="str">
        <f>IFERROR(IF(K50=0,"",K49+K50),"")</f>
        <v/>
      </c>
      <c r="L51" s="168"/>
      <c r="M51" s="146"/>
      <c r="N51" s="144"/>
      <c r="O51" s="144"/>
      <c r="P51" s="144"/>
      <c r="Q51" s="144"/>
      <c r="S51" s="32"/>
      <c r="T51" s="32"/>
      <c r="U51" s="32"/>
      <c r="AA51" t="s">
        <v>406</v>
      </c>
      <c r="AB51" s="45"/>
      <c r="AD51" t="s">
        <v>175</v>
      </c>
      <c r="AE51" t="s">
        <v>167</v>
      </c>
      <c r="AI51" s="31"/>
    </row>
    <row r="52" spans="1:35" ht="26.25" thickBot="1" x14ac:dyDescent="0.3">
      <c r="A52" s="353"/>
      <c r="B52" s="101" t="s">
        <v>138</v>
      </c>
      <c r="C52" s="76"/>
      <c r="D52" s="361"/>
      <c r="E52" s="361"/>
      <c r="F52" s="361"/>
      <c r="G52" s="361"/>
      <c r="H52" s="361"/>
      <c r="I52" s="77" t="s">
        <v>136</v>
      </c>
      <c r="J52" s="78"/>
      <c r="K52" s="79" t="str">
        <f>IFERROR(IF(J52="","&lt;--  zadej množství",K51*J52),"")</f>
        <v>&lt;--  zadej množství</v>
      </c>
      <c r="L52" s="169"/>
      <c r="M52" s="147"/>
      <c r="N52" s="145"/>
      <c r="O52" s="145"/>
      <c r="P52" s="145"/>
      <c r="Q52" s="145"/>
      <c r="S52" s="32">
        <f>IF(ISNUMBER(K52),K52,0)</f>
        <v>0</v>
      </c>
      <c r="T52" s="32"/>
      <c r="U52" s="32"/>
      <c r="X52" s="54" t="s">
        <v>162</v>
      </c>
      <c r="Y52" s="55">
        <v>800</v>
      </c>
      <c r="AA52" t="s">
        <v>405</v>
      </c>
      <c r="AB52" s="45"/>
      <c r="AD52" t="s">
        <v>178</v>
      </c>
      <c r="AE52" t="s">
        <v>168</v>
      </c>
      <c r="AI52" s="31"/>
    </row>
    <row r="53" spans="1:35" ht="15.75" thickBot="1" x14ac:dyDescent="0.3">
      <c r="A53" s="319" t="s">
        <v>207</v>
      </c>
      <c r="B53" s="354" t="s">
        <v>134</v>
      </c>
      <c r="C53" s="60" t="s">
        <v>56</v>
      </c>
      <c r="D53" s="35" t="s">
        <v>19</v>
      </c>
      <c r="E53" s="60" t="s">
        <v>55</v>
      </c>
      <c r="F53" s="60" t="s">
        <v>23</v>
      </c>
      <c r="G53" s="35" t="s">
        <v>21</v>
      </c>
      <c r="H53" s="35" t="s">
        <v>7</v>
      </c>
      <c r="I53" s="35" t="s">
        <v>22</v>
      </c>
      <c r="J53" s="35" t="s">
        <v>10</v>
      </c>
      <c r="K53" s="61" t="s">
        <v>164</v>
      </c>
      <c r="L53" s="162"/>
      <c r="M53" s="148"/>
      <c r="N53" s="146"/>
      <c r="O53" s="146"/>
      <c r="P53" s="146"/>
      <c r="Q53" s="146"/>
      <c r="S53" s="52" t="str">
        <f>CONCATENATE(G54,"_",H54)</f>
        <v>_</v>
      </c>
      <c r="U53" s="28"/>
      <c r="W53" s="53" t="s">
        <v>145</v>
      </c>
      <c r="X53" s="52" t="s">
        <v>160</v>
      </c>
      <c r="Y53" s="52" t="s">
        <v>161</v>
      </c>
      <c r="AA53" t="s">
        <v>407</v>
      </c>
      <c r="AB53" s="45"/>
      <c r="AD53" t="s">
        <v>179</v>
      </c>
      <c r="AE53" t="s">
        <v>169</v>
      </c>
      <c r="AI53" s="31"/>
    </row>
    <row r="54" spans="1:35" ht="16.5" customHeight="1" thickBot="1" x14ac:dyDescent="0.3">
      <c r="A54" s="293"/>
      <c r="B54" s="297"/>
      <c r="C54" s="174"/>
      <c r="D54" s="174"/>
      <c r="E54" s="172"/>
      <c r="F54" s="172"/>
      <c r="G54" s="174"/>
      <c r="H54" s="174"/>
      <c r="I54" s="172"/>
      <c r="J54" s="174"/>
      <c r="K54" s="83"/>
      <c r="L54" s="142"/>
      <c r="M54" s="149"/>
      <c r="N54" s="147"/>
      <c r="O54" s="147"/>
      <c r="P54" s="147"/>
      <c r="Q54" s="147"/>
      <c r="R54" s="18"/>
      <c r="S54" s="20" t="str">
        <f>CONCATENATE(D54,F54)</f>
        <v/>
      </c>
      <c r="T54" s="30"/>
      <c r="U54" s="28"/>
      <c r="W54" s="1" t="s">
        <v>146</v>
      </c>
      <c r="X54">
        <f>0.65*1.97</f>
        <v>1.2805</v>
      </c>
      <c r="Y54" s="28">
        <f>ROUND(X54*$Y$52,0)</f>
        <v>1024</v>
      </c>
      <c r="AA54" t="s">
        <v>408</v>
      </c>
      <c r="AB54" s="45"/>
      <c r="AD54" t="s">
        <v>180</v>
      </c>
      <c r="AE54" t="s">
        <v>170</v>
      </c>
      <c r="AI54" s="31"/>
    </row>
    <row r="55" spans="1:35" ht="15.75" thickBot="1" x14ac:dyDescent="0.3">
      <c r="A55" s="293"/>
      <c r="B55" s="297"/>
      <c r="C55" s="345" t="s">
        <v>89</v>
      </c>
      <c r="D55" s="346"/>
      <c r="E55" s="85" t="s">
        <v>93</v>
      </c>
      <c r="F55" s="345" t="s">
        <v>95</v>
      </c>
      <c r="G55" s="346"/>
      <c r="H55" s="345" t="s">
        <v>96</v>
      </c>
      <c r="I55" s="356"/>
      <c r="J55" s="113" t="s">
        <v>128</v>
      </c>
      <c r="K55" s="86" t="str">
        <f>IFERROR(VLOOKUP(S56,'ceny pro 1-7'!$P$5:$Q$164,2,0),"")</f>
        <v/>
      </c>
      <c r="L55" s="163"/>
      <c r="M55" s="141"/>
      <c r="N55" s="148"/>
      <c r="O55" s="148"/>
      <c r="P55" s="148"/>
      <c r="Q55" s="148"/>
      <c r="S55" t="e">
        <f>VLOOKUP(K54,$AD$45:$AE$54,2,0)</f>
        <v>#N/A</v>
      </c>
      <c r="T55">
        <f>IF(C54=$AD$40,"DD5",C54)</f>
        <v>0</v>
      </c>
      <c r="U55" s="33"/>
      <c r="W55" s="1" t="s">
        <v>147</v>
      </c>
      <c r="X55">
        <f>0.65*2.1</f>
        <v>1.3650000000000002</v>
      </c>
      <c r="Y55" s="28">
        <f t="shared" ref="Y55:Y63" si="0">ROUND(X55*$Y$52,0)</f>
        <v>1092</v>
      </c>
      <c r="AA55" t="s">
        <v>411</v>
      </c>
      <c r="AB55" s="45"/>
      <c r="AI55" s="31"/>
    </row>
    <row r="56" spans="1:35" ht="16.5" customHeight="1" thickBot="1" x14ac:dyDescent="0.3">
      <c r="A56" s="293"/>
      <c r="B56" s="297"/>
      <c r="C56" s="347"/>
      <c r="D56" s="348"/>
      <c r="E56" s="172"/>
      <c r="F56" s="343"/>
      <c r="G56" s="344"/>
      <c r="H56" s="303"/>
      <c r="I56" s="303"/>
      <c r="J56" s="303"/>
      <c r="K56" s="87" t="s">
        <v>190</v>
      </c>
      <c r="L56" s="164"/>
      <c r="M56" s="142"/>
      <c r="N56" s="149"/>
      <c r="O56" s="149"/>
      <c r="P56" s="149"/>
      <c r="Q56" s="149"/>
      <c r="S56" s="80" t="e">
        <f>CONCATENATE(D54,F54,T55,S55)</f>
        <v>#N/A</v>
      </c>
      <c r="T56" s="80"/>
      <c r="W56" s="1" t="s">
        <v>148</v>
      </c>
      <c r="X56">
        <f>0.75*1.97</f>
        <v>1.4775</v>
      </c>
      <c r="Y56" s="28">
        <f t="shared" si="0"/>
        <v>1182</v>
      </c>
      <c r="AA56" t="s">
        <v>410</v>
      </c>
      <c r="AB56" s="45"/>
      <c r="AI56" s="31"/>
    </row>
    <row r="57" spans="1:35" x14ac:dyDescent="0.25">
      <c r="A57" s="293"/>
      <c r="B57" s="355"/>
      <c r="C57" s="349">
        <f>IF(F54=$W$26,IF(C56=$AA$31,500,IF(C56=$AA$32,1000,0)),IF(C56=$AA$31,1000,IF(C56=$AA$32,2000,0)))</f>
        <v>0</v>
      </c>
      <c r="D57" s="350"/>
      <c r="E57" s="173">
        <f>IF(E56="",0,IF(F54=W67,IF(E56=$W$35,0,450),IF(E56=$W$35,0,900)))</f>
        <v>0</v>
      </c>
      <c r="F57" s="357">
        <f>IF(F54=$W$26,IF(F56=$W$44,150,IF(F56=$W$45,150,IF(F56=$W$46,90,0))),IF(F56=$W$44,300,IF(F56=$W$45,300,IF(F56=$W$46,180,0))))</f>
        <v>0</v>
      </c>
      <c r="G57" s="358"/>
      <c r="H57" s="314">
        <f>IFERROR(VLOOKUP(H56,$AA$35:$AB$45,2,0),0)</f>
        <v>0</v>
      </c>
      <c r="I57" s="315"/>
      <c r="J57" s="316"/>
      <c r="K57" s="75">
        <f>SUM(C57:I57)</f>
        <v>0</v>
      </c>
      <c r="L57" s="165"/>
      <c r="M57" s="143"/>
      <c r="N57" s="141"/>
      <c r="O57" s="141"/>
      <c r="P57" s="141"/>
      <c r="Q57" s="141"/>
      <c r="S57" s="33"/>
      <c r="T57" s="33"/>
      <c r="U57" s="33"/>
      <c r="W57" s="1" t="s">
        <v>149</v>
      </c>
      <c r="X57">
        <f>0.75*2.1</f>
        <v>1.5750000000000002</v>
      </c>
      <c r="Y57" s="28">
        <f t="shared" si="0"/>
        <v>1260</v>
      </c>
      <c r="AA57" t="s">
        <v>409</v>
      </c>
      <c r="AB57" s="45"/>
    </row>
    <row r="58" spans="1:35" ht="26.25" thickBot="1" x14ac:dyDescent="0.3">
      <c r="A58" s="293"/>
      <c r="B58" s="304" t="s">
        <v>135</v>
      </c>
      <c r="C58" s="320" t="s">
        <v>126</v>
      </c>
      <c r="D58" s="320"/>
      <c r="E58" s="66" t="s">
        <v>124</v>
      </c>
      <c r="F58" s="359" t="s">
        <v>125</v>
      </c>
      <c r="G58" s="360"/>
      <c r="H58" s="321" t="s">
        <v>127</v>
      </c>
      <c r="I58" s="322"/>
      <c r="J58" s="73" t="s">
        <v>132</v>
      </c>
      <c r="K58" s="74" t="str">
        <f>IFERROR(K55+K57,"")</f>
        <v/>
      </c>
      <c r="L58" s="166"/>
      <c r="M58" s="144"/>
      <c r="N58" s="142"/>
      <c r="O58" s="142"/>
      <c r="P58" s="142"/>
      <c r="Q58" s="142"/>
      <c r="S58" s="32"/>
      <c r="T58" s="32"/>
      <c r="W58" s="1" t="s">
        <v>150</v>
      </c>
      <c r="X58">
        <f>0.85*1.97</f>
        <v>1.6744999999999999</v>
      </c>
      <c r="Y58" s="28">
        <f t="shared" si="0"/>
        <v>1340</v>
      </c>
      <c r="AA58" t="s">
        <v>412</v>
      </c>
      <c r="AB58" s="45"/>
    </row>
    <row r="59" spans="1:35" ht="16.5" customHeight="1" thickBot="1" x14ac:dyDescent="0.3">
      <c r="A59" s="293"/>
      <c r="B59" s="305"/>
      <c r="C59" s="303"/>
      <c r="D59" s="303"/>
      <c r="E59" s="172"/>
      <c r="F59" s="343"/>
      <c r="G59" s="344"/>
      <c r="H59" s="309"/>
      <c r="I59" s="309"/>
      <c r="J59" s="317" t="s">
        <v>133</v>
      </c>
      <c r="K59" s="68">
        <f>IF(SUM(R59:U59)&gt;0,"kalkulace",SUM(C60:I60))</f>
        <v>0</v>
      </c>
      <c r="L59" s="167"/>
      <c r="M59" s="145"/>
      <c r="N59" s="143"/>
      <c r="O59" s="143"/>
      <c r="P59" s="143"/>
      <c r="Q59" s="143"/>
      <c r="R59" s="14">
        <f>IF(C59=$AA$70,1,0)</f>
        <v>0</v>
      </c>
      <c r="S59" s="14">
        <f>IF(E59=$AA$70,1,0)</f>
        <v>0</v>
      </c>
      <c r="T59" s="14">
        <f>IF(F59=$AA$70,1,0)</f>
        <v>0</v>
      </c>
      <c r="U59" s="14">
        <f>IF(H59=$AA$70,1,0)</f>
        <v>0</v>
      </c>
      <c r="W59" s="1" t="s">
        <v>151</v>
      </c>
      <c r="X59">
        <f>0.85*2.1</f>
        <v>1.7849999999999999</v>
      </c>
      <c r="Y59" s="28">
        <f t="shared" si="0"/>
        <v>1428</v>
      </c>
      <c r="AA59" t="s">
        <v>413</v>
      </c>
    </row>
    <row r="60" spans="1:35" x14ac:dyDescent="0.25">
      <c r="A60" s="293"/>
      <c r="B60" s="306"/>
      <c r="C60" s="307">
        <f>IFERROR(IF(C59=$AA$70,"nutná kalkulace",IF(C59="",0,IF(C59=$AA$49,0,VLOOKUP($S53,$W$53:$Y$67,3,0)))),"konfiguruj dveře")</f>
        <v>0</v>
      </c>
      <c r="D60" s="308"/>
      <c r="E60" s="171">
        <f>IFERROR(IF(E59=$AA$70,"nutná kalkulace",IF(E59="",0,IF(E59=$AA$49,0,VLOOKUP($S53,$W$53:$Y$67,3,0)))),"konfiguruj dveře")</f>
        <v>0</v>
      </c>
      <c r="F60" s="307">
        <f>IFERROR(IF(F59=$AA$70,"nutná kalkulace",IF(F59="",0,IF(F59=$AA$49,0,VLOOKUP($S53,$W$53:$Y$67,3,0)))),"konfiguruj dveře")</f>
        <v>0</v>
      </c>
      <c r="G60" s="308"/>
      <c r="H60" s="307">
        <f>IFERROR(IF(H59=$AA$70,"nutná kalkulace",IF(H59="",0,IF(H59=$AA$49,0,VLOOKUP($S53,$W$53:$Y$67,3,0)))),"konfiguruj dveře")</f>
        <v>0</v>
      </c>
      <c r="I60" s="308"/>
      <c r="J60" s="318"/>
      <c r="K60" s="38" t="str">
        <f>IFERROR(IF(K59=0,"",K58+K59),"")</f>
        <v/>
      </c>
      <c r="L60" s="168"/>
      <c r="M60" s="146"/>
      <c r="N60" s="144"/>
      <c r="O60" s="144"/>
      <c r="P60" s="144"/>
      <c r="Q60" s="144"/>
      <c r="S60" s="32"/>
      <c r="T60" s="32"/>
      <c r="U60" s="32"/>
      <c r="W60" s="1" t="s">
        <v>152</v>
      </c>
      <c r="X60">
        <f>0.95*1.97</f>
        <v>1.8714999999999999</v>
      </c>
      <c r="Y60" s="28">
        <f t="shared" si="0"/>
        <v>1497</v>
      </c>
      <c r="AA60" t="s">
        <v>397</v>
      </c>
    </row>
    <row r="61" spans="1:35" ht="26.25" thickBot="1" x14ac:dyDescent="0.3">
      <c r="A61" s="353"/>
      <c r="B61" s="101" t="s">
        <v>138</v>
      </c>
      <c r="C61" s="76"/>
      <c r="D61" s="361"/>
      <c r="E61" s="361"/>
      <c r="F61" s="361"/>
      <c r="G61" s="361"/>
      <c r="H61" s="361"/>
      <c r="I61" s="77" t="s">
        <v>136</v>
      </c>
      <c r="J61" s="78"/>
      <c r="K61" s="79" t="str">
        <f>IFERROR(IF(J61="","&lt;--  zadej množství",K60*J61),"")</f>
        <v>&lt;--  zadej množství</v>
      </c>
      <c r="L61" s="169"/>
      <c r="M61" s="147"/>
      <c r="N61" s="145"/>
      <c r="O61" s="145"/>
      <c r="P61" s="145"/>
      <c r="Q61" s="145"/>
      <c r="S61" s="32">
        <f>IF(ISNUMBER(K61),K61,0)</f>
        <v>0</v>
      </c>
      <c r="T61" s="32"/>
      <c r="U61" s="32"/>
      <c r="W61" s="1" t="s">
        <v>153</v>
      </c>
      <c r="X61">
        <f>0.95*2.1</f>
        <v>1.9949999999999999</v>
      </c>
      <c r="Y61" s="28">
        <f t="shared" si="0"/>
        <v>1596</v>
      </c>
      <c r="AA61" t="s">
        <v>222</v>
      </c>
    </row>
    <row r="62" spans="1:35" ht="15.75" thickBot="1" x14ac:dyDescent="0.3">
      <c r="A62" s="319" t="s">
        <v>208</v>
      </c>
      <c r="B62" s="354" t="s">
        <v>134</v>
      </c>
      <c r="C62" s="60" t="s">
        <v>56</v>
      </c>
      <c r="D62" s="35" t="s">
        <v>19</v>
      </c>
      <c r="E62" s="60" t="s">
        <v>55</v>
      </c>
      <c r="F62" s="60" t="s">
        <v>23</v>
      </c>
      <c r="G62" s="35" t="s">
        <v>21</v>
      </c>
      <c r="H62" s="35" t="s">
        <v>7</v>
      </c>
      <c r="I62" s="35" t="s">
        <v>22</v>
      </c>
      <c r="J62" s="35" t="s">
        <v>10</v>
      </c>
      <c r="K62" s="61" t="s">
        <v>164</v>
      </c>
      <c r="L62" s="162"/>
      <c r="M62" s="148"/>
      <c r="N62" s="146"/>
      <c r="O62" s="146"/>
      <c r="P62" s="146"/>
      <c r="Q62" s="146"/>
      <c r="S62" s="52" t="str">
        <f>CONCATENATE(G63,"_",H63)</f>
        <v>_</v>
      </c>
      <c r="U62" s="28"/>
      <c r="W62" s="1" t="s">
        <v>154</v>
      </c>
      <c r="X62">
        <f>1.15*1.97</f>
        <v>2.2654999999999998</v>
      </c>
      <c r="Y62" s="28">
        <f t="shared" si="0"/>
        <v>1812</v>
      </c>
      <c r="AA62" t="s">
        <v>223</v>
      </c>
    </row>
    <row r="63" spans="1:35" ht="16.5" customHeight="1" thickBot="1" x14ac:dyDescent="0.3">
      <c r="A63" s="293"/>
      <c r="B63" s="297"/>
      <c r="C63" s="174"/>
      <c r="D63" s="174"/>
      <c r="E63" s="172"/>
      <c r="F63" s="172"/>
      <c r="G63" s="174"/>
      <c r="H63" s="174"/>
      <c r="I63" s="172"/>
      <c r="J63" s="174"/>
      <c r="K63" s="83"/>
      <c r="L63" s="142"/>
      <c r="M63" s="149"/>
      <c r="N63" s="147"/>
      <c r="O63" s="147"/>
      <c r="P63" s="147"/>
      <c r="Q63" s="147"/>
      <c r="R63" s="18"/>
      <c r="S63" s="20" t="str">
        <f>CONCATENATE(D63,F63)</f>
        <v/>
      </c>
      <c r="T63" s="30"/>
      <c r="U63" s="28"/>
      <c r="W63" s="1" t="s">
        <v>155</v>
      </c>
      <c r="X63">
        <f>1.15*2.1</f>
        <v>2.415</v>
      </c>
      <c r="Y63" s="28">
        <f t="shared" si="0"/>
        <v>1932</v>
      </c>
      <c r="AA63" t="s">
        <v>399</v>
      </c>
    </row>
    <row r="64" spans="1:35" ht="15.75" thickBot="1" x14ac:dyDescent="0.3">
      <c r="A64" s="293"/>
      <c r="B64" s="297"/>
      <c r="C64" s="345" t="s">
        <v>89</v>
      </c>
      <c r="D64" s="346"/>
      <c r="E64" s="85" t="s">
        <v>93</v>
      </c>
      <c r="F64" s="345" t="s">
        <v>95</v>
      </c>
      <c r="G64" s="346"/>
      <c r="H64" s="345" t="s">
        <v>96</v>
      </c>
      <c r="I64" s="356"/>
      <c r="J64" s="113" t="s">
        <v>128</v>
      </c>
      <c r="K64" s="86" t="str">
        <f>IFERROR(VLOOKUP(S65,'ceny pro 1-7'!$P$5:$Q$164,2,0),"")</f>
        <v/>
      </c>
      <c r="L64" s="163"/>
      <c r="M64" s="141"/>
      <c r="N64" s="148"/>
      <c r="O64" s="148"/>
      <c r="P64" s="148"/>
      <c r="Q64" s="148"/>
      <c r="S64" t="e">
        <f>VLOOKUP(K63,$AD$45:$AE$54,2,0)</f>
        <v>#N/A</v>
      </c>
      <c r="T64">
        <f>IF(C63=$AD$40,"DD5",C63)</f>
        <v>0</v>
      </c>
      <c r="U64" s="33"/>
      <c r="W64" s="11" t="s">
        <v>156</v>
      </c>
      <c r="X64">
        <f>1.25*1.97</f>
        <v>2.4624999999999999</v>
      </c>
      <c r="Y64" s="28">
        <f>(ROUND((X64*$Y$52)/2,0))</f>
        <v>985</v>
      </c>
      <c r="AA64" t="s">
        <v>398</v>
      </c>
    </row>
    <row r="65" spans="1:27" ht="16.5" customHeight="1" thickBot="1" x14ac:dyDescent="0.3">
      <c r="A65" s="293"/>
      <c r="B65" s="297"/>
      <c r="C65" s="347"/>
      <c r="D65" s="348"/>
      <c r="E65" s="172"/>
      <c r="F65" s="343"/>
      <c r="G65" s="344"/>
      <c r="H65" s="303"/>
      <c r="I65" s="303"/>
      <c r="J65" s="303"/>
      <c r="K65" s="87" t="s">
        <v>190</v>
      </c>
      <c r="L65" s="164"/>
      <c r="M65" s="142"/>
      <c r="N65" s="149"/>
      <c r="O65" s="149"/>
      <c r="P65" s="149"/>
      <c r="Q65" s="149"/>
      <c r="S65" s="80" t="e">
        <f>CONCATENATE(D63,F63,T64,S64)</f>
        <v>#N/A</v>
      </c>
      <c r="T65" s="80"/>
      <c r="W65" s="11" t="s">
        <v>157</v>
      </c>
      <c r="X65">
        <f>1.25*2.1</f>
        <v>2.625</v>
      </c>
      <c r="Y65" s="28">
        <f t="shared" ref="Y65:Y67" si="1">(ROUND((X65*$Y$52)/2,0))</f>
        <v>1050</v>
      </c>
      <c r="AA65" t="s">
        <v>225</v>
      </c>
    </row>
    <row r="66" spans="1:27" x14ac:dyDescent="0.25">
      <c r="A66" s="293"/>
      <c r="B66" s="355"/>
      <c r="C66" s="349">
        <f>IF(F63=$W$26,IF(C65=$AA$31,500,IF(C65=$AA$32,1000,0)),IF(C65=$AA$31,1000,IF(C65=$AA$32,2000,0)))</f>
        <v>0</v>
      </c>
      <c r="D66" s="350"/>
      <c r="E66" s="173">
        <f>IF(E65="",0,IF(F63=W76,IF(E65=$W$35,0,450),IF(E65=$W$35,0,900)))</f>
        <v>0</v>
      </c>
      <c r="F66" s="357">
        <f>IF(F63=$W$26,IF(F65=$W$44,150,IF(F65=$W$45,150,IF(F65=$W$46,90,0))),IF(F65=$W$44,300,IF(F65=$W$45,300,IF(F65=$W$46,180,0))))</f>
        <v>0</v>
      </c>
      <c r="G66" s="358"/>
      <c r="H66" s="314">
        <f>IFERROR(VLOOKUP(H65,$AA$35:$AB$45,2,0),0)</f>
        <v>0</v>
      </c>
      <c r="I66" s="315"/>
      <c r="J66" s="316"/>
      <c r="K66" s="75">
        <f>SUM(C66:I66)</f>
        <v>0</v>
      </c>
      <c r="L66" s="165"/>
      <c r="M66" s="143"/>
      <c r="N66" s="141"/>
      <c r="O66" s="141"/>
      <c r="P66" s="141"/>
      <c r="Q66" s="141"/>
      <c r="S66" s="33"/>
      <c r="T66" s="33"/>
      <c r="U66" s="33"/>
      <c r="W66" s="11" t="s">
        <v>158</v>
      </c>
      <c r="X66">
        <f>1.45*1.97</f>
        <v>2.8565</v>
      </c>
      <c r="Y66" s="28">
        <f t="shared" si="1"/>
        <v>1143</v>
      </c>
      <c r="AA66" t="s">
        <v>400</v>
      </c>
    </row>
    <row r="67" spans="1:27" ht="26.25" thickBot="1" x14ac:dyDescent="0.3">
      <c r="A67" s="293"/>
      <c r="B67" s="304" t="s">
        <v>135</v>
      </c>
      <c r="C67" s="320" t="s">
        <v>126</v>
      </c>
      <c r="D67" s="320"/>
      <c r="E67" s="66" t="s">
        <v>124</v>
      </c>
      <c r="F67" s="359" t="s">
        <v>125</v>
      </c>
      <c r="G67" s="360"/>
      <c r="H67" s="321" t="s">
        <v>127</v>
      </c>
      <c r="I67" s="322"/>
      <c r="J67" s="73" t="s">
        <v>132</v>
      </c>
      <c r="K67" s="74" t="str">
        <f>IFERROR(K64+K66,"")</f>
        <v/>
      </c>
      <c r="L67" s="166"/>
      <c r="M67" s="144"/>
      <c r="N67" s="142"/>
      <c r="O67" s="142"/>
      <c r="P67" s="142"/>
      <c r="Q67" s="142"/>
      <c r="S67" s="32"/>
      <c r="T67" s="32"/>
      <c r="W67" s="11" t="s">
        <v>159</v>
      </c>
      <c r="X67">
        <f>1.45*2.1</f>
        <v>3.0449999999999999</v>
      </c>
      <c r="Y67" s="28">
        <f t="shared" si="1"/>
        <v>1218</v>
      </c>
      <c r="AA67" t="s">
        <v>402</v>
      </c>
    </row>
    <row r="68" spans="1:27" ht="16.5" customHeight="1" thickBot="1" x14ac:dyDescent="0.3">
      <c r="A68" s="293"/>
      <c r="B68" s="305"/>
      <c r="C68" s="303"/>
      <c r="D68" s="303"/>
      <c r="E68" s="172"/>
      <c r="F68" s="343"/>
      <c r="G68" s="344"/>
      <c r="H68" s="309"/>
      <c r="I68" s="309"/>
      <c r="J68" s="317" t="s">
        <v>133</v>
      </c>
      <c r="K68" s="68">
        <f>IF(SUM(R68:U68)&gt;0,"kalkulace",SUM(C69:I69))</f>
        <v>0</v>
      </c>
      <c r="L68" s="167"/>
      <c r="M68" s="145"/>
      <c r="N68" s="143"/>
      <c r="O68" s="143"/>
      <c r="P68" s="143"/>
      <c r="Q68" s="143"/>
      <c r="R68" s="14">
        <f>IF(C68=$AA$70,1,0)</f>
        <v>0</v>
      </c>
      <c r="S68" s="14">
        <f>IF(E68=$AA$70,1,0)</f>
        <v>0</v>
      </c>
      <c r="T68" s="14">
        <f>IF(F68=$AA$70,1,0)</f>
        <v>0</v>
      </c>
      <c r="U68" s="14">
        <f>IF(H68=$AA$70,1,0)</f>
        <v>0</v>
      </c>
      <c r="AA68" t="s">
        <v>401</v>
      </c>
    </row>
    <row r="69" spans="1:27" x14ac:dyDescent="0.25">
      <c r="A69" s="293"/>
      <c r="B69" s="306"/>
      <c r="C69" s="307">
        <f>IFERROR(IF(C68=$AA$70,"nutná kalkulace",IF(C68="",0,IF(C68=$AA$49,0,VLOOKUP($S62,$W$53:$Y$67,3,0)))),"konfiguruj dveře")</f>
        <v>0</v>
      </c>
      <c r="D69" s="308"/>
      <c r="E69" s="171">
        <f>IFERROR(IF(E68=$AA$70,"nutná kalkulace",IF(E68="",0,IF(E68=$AA$49,0,VLOOKUP($S62,$W$53:$Y$67,3,0)))),"konfiguruj dveře")</f>
        <v>0</v>
      </c>
      <c r="F69" s="307">
        <f>IFERROR(IF(F68=$AA$70,"nutná kalkulace",IF(F68="",0,IF(F68=$AA$49,0,VLOOKUP($S62,$W$53:$Y$67,3,0)))),"konfiguruj dveře")</f>
        <v>0</v>
      </c>
      <c r="G69" s="308"/>
      <c r="H69" s="307">
        <f>IFERROR(IF(H68=$AA$70,"nutná kalkulace",IF(H68="",0,IF(H68=$AA$49,0,VLOOKUP($S62,$W$53:$Y$67,3,0)))),"konfiguruj dveře")</f>
        <v>0</v>
      </c>
      <c r="I69" s="308"/>
      <c r="J69" s="318"/>
      <c r="K69" s="38" t="str">
        <f>IFERROR(IF(K68=0,"",K67+K68),"")</f>
        <v/>
      </c>
      <c r="L69" s="168"/>
      <c r="M69" s="146"/>
      <c r="N69" s="144"/>
      <c r="O69" s="144"/>
      <c r="P69" s="144"/>
      <c r="Q69" s="144"/>
      <c r="S69" s="32"/>
      <c r="T69" s="32"/>
      <c r="U69" s="32"/>
      <c r="AA69" t="s">
        <v>403</v>
      </c>
    </row>
    <row r="70" spans="1:27" ht="26.25" thickBot="1" x14ac:dyDescent="0.3">
      <c r="A70" s="353"/>
      <c r="B70" s="101" t="s">
        <v>138</v>
      </c>
      <c r="C70" s="76"/>
      <c r="D70" s="361"/>
      <c r="E70" s="361"/>
      <c r="F70" s="361"/>
      <c r="G70" s="361"/>
      <c r="H70" s="361"/>
      <c r="I70" s="77" t="s">
        <v>136</v>
      </c>
      <c r="J70" s="78"/>
      <c r="K70" s="79" t="str">
        <f>IFERROR(IF(J70="","&lt;--  zadej množství",K69*J70),"")</f>
        <v>&lt;--  zadej množství</v>
      </c>
      <c r="L70" s="169"/>
      <c r="M70" s="147"/>
      <c r="N70" s="145"/>
      <c r="O70" s="145"/>
      <c r="P70" s="145"/>
      <c r="Q70" s="145"/>
      <c r="S70" s="32">
        <f>IF(ISNUMBER(K70),K70,0)</f>
        <v>0</v>
      </c>
      <c r="T70" s="32"/>
      <c r="U70" s="32"/>
      <c r="AA70" t="s">
        <v>224</v>
      </c>
    </row>
    <row r="71" spans="1:27" ht="15.75" customHeight="1" thickBot="1" x14ac:dyDescent="0.3">
      <c r="A71" s="319" t="s">
        <v>209</v>
      </c>
      <c r="B71" s="354" t="s">
        <v>134</v>
      </c>
      <c r="C71" s="60" t="s">
        <v>56</v>
      </c>
      <c r="D71" s="35" t="s">
        <v>19</v>
      </c>
      <c r="E71" s="60" t="s">
        <v>55</v>
      </c>
      <c r="F71" s="60" t="s">
        <v>23</v>
      </c>
      <c r="G71" s="35" t="s">
        <v>21</v>
      </c>
      <c r="H71" s="35" t="s">
        <v>7</v>
      </c>
      <c r="I71" s="35" t="s">
        <v>22</v>
      </c>
      <c r="J71" s="35" t="s">
        <v>10</v>
      </c>
      <c r="K71" s="61" t="s">
        <v>164</v>
      </c>
      <c r="L71" s="162"/>
      <c r="M71" s="148"/>
      <c r="N71" s="146"/>
      <c r="O71" s="146"/>
      <c r="P71" s="146"/>
      <c r="Q71" s="146"/>
      <c r="S71" s="52" t="str">
        <f>CONCATENATE(G72,"_",H72)</f>
        <v>_</v>
      </c>
      <c r="U71" s="28"/>
    </row>
    <row r="72" spans="1:27" ht="16.5" customHeight="1" thickBot="1" x14ac:dyDescent="0.3">
      <c r="A72" s="293"/>
      <c r="B72" s="297"/>
      <c r="C72" s="174"/>
      <c r="D72" s="174"/>
      <c r="E72" s="172"/>
      <c r="F72" s="172"/>
      <c r="G72" s="174"/>
      <c r="H72" s="174"/>
      <c r="I72" s="172"/>
      <c r="J72" s="174"/>
      <c r="K72" s="83"/>
      <c r="L72" s="142"/>
      <c r="M72" s="149"/>
      <c r="N72" s="147"/>
      <c r="O72" s="147"/>
      <c r="P72" s="147"/>
      <c r="Q72" s="147"/>
      <c r="R72" s="18"/>
      <c r="S72" s="20" t="str">
        <f>CONCATENATE(D72,F72)</f>
        <v/>
      </c>
      <c r="T72" s="30"/>
      <c r="U72" s="28"/>
    </row>
    <row r="73" spans="1:27" ht="15.75" thickBot="1" x14ac:dyDescent="0.3">
      <c r="A73" s="293"/>
      <c r="B73" s="297"/>
      <c r="C73" s="345" t="s">
        <v>89</v>
      </c>
      <c r="D73" s="346"/>
      <c r="E73" s="85" t="s">
        <v>93</v>
      </c>
      <c r="F73" s="345" t="s">
        <v>95</v>
      </c>
      <c r="G73" s="346"/>
      <c r="H73" s="345" t="s">
        <v>96</v>
      </c>
      <c r="I73" s="356"/>
      <c r="J73" s="113" t="s">
        <v>128</v>
      </c>
      <c r="K73" s="86" t="str">
        <f>IFERROR(VLOOKUP(S74,'ceny pro 1-7'!$P$5:$Q$164,2,0),"")</f>
        <v/>
      </c>
      <c r="L73" s="163"/>
      <c r="M73" s="141"/>
      <c r="N73" s="148"/>
      <c r="O73" s="148"/>
      <c r="P73" s="148"/>
      <c r="Q73" s="148"/>
      <c r="S73" t="e">
        <f>VLOOKUP(K72,$AD$45:$AE$54,2,0)</f>
        <v>#N/A</v>
      </c>
      <c r="T73">
        <f>IF(C72=$AD$40,"DD5",C72)</f>
        <v>0</v>
      </c>
      <c r="U73" s="33"/>
    </row>
    <row r="74" spans="1:27" ht="15.75" customHeight="1" thickBot="1" x14ac:dyDescent="0.3">
      <c r="A74" s="293"/>
      <c r="B74" s="297"/>
      <c r="C74" s="347"/>
      <c r="D74" s="348"/>
      <c r="E74" s="172"/>
      <c r="F74" s="343"/>
      <c r="G74" s="344"/>
      <c r="H74" s="303"/>
      <c r="I74" s="303"/>
      <c r="J74" s="303"/>
      <c r="K74" s="87" t="s">
        <v>190</v>
      </c>
      <c r="L74" s="164"/>
      <c r="M74" s="142"/>
      <c r="N74" s="149"/>
      <c r="O74" s="149"/>
      <c r="P74" s="149"/>
      <c r="Q74" s="149"/>
      <c r="S74" s="80" t="e">
        <f>CONCATENATE(D72,F72,T73,S73)</f>
        <v>#N/A</v>
      </c>
      <c r="T74" s="80"/>
    </row>
    <row r="75" spans="1:27" x14ac:dyDescent="0.25">
      <c r="A75" s="293"/>
      <c r="B75" s="355"/>
      <c r="C75" s="349">
        <f>IF(F72=$W$26,IF(C74=$AA$31,500,IF(C74=$AA$32,1000,0)),IF(C74=$AA$31,1000,IF(C74=$AA$32,2000,0)))</f>
        <v>0</v>
      </c>
      <c r="D75" s="350"/>
      <c r="E75" s="173">
        <f>IF(E74="",0,IF(F72=W85,IF(E74=$W$35,0,450),IF(E74=$W$35,0,900)))</f>
        <v>0</v>
      </c>
      <c r="F75" s="357">
        <f>IF(F72=$W$26,IF(F74=$W$44,150,IF(F74=$W$45,150,IF(F74=$W$46,90,0))),IF(F74=$W$44,300,IF(F74=$W$45,300,IF(F74=$W$46,180,0))))</f>
        <v>0</v>
      </c>
      <c r="G75" s="358"/>
      <c r="H75" s="314">
        <f>IFERROR(VLOOKUP(H74,$AA$35:$AB$45,2,0),0)</f>
        <v>0</v>
      </c>
      <c r="I75" s="315"/>
      <c r="J75" s="316"/>
      <c r="K75" s="75">
        <f>SUM(C75:I75)</f>
        <v>0</v>
      </c>
      <c r="L75" s="165"/>
      <c r="M75" s="143"/>
      <c r="N75" s="141"/>
      <c r="O75" s="141"/>
      <c r="P75" s="141"/>
      <c r="Q75" s="141"/>
      <c r="S75" s="33"/>
      <c r="T75" s="33"/>
      <c r="U75" s="33"/>
    </row>
    <row r="76" spans="1:27" ht="26.25" thickBot="1" x14ac:dyDescent="0.3">
      <c r="A76" s="293"/>
      <c r="B76" s="304" t="s">
        <v>135</v>
      </c>
      <c r="C76" s="320" t="s">
        <v>126</v>
      </c>
      <c r="D76" s="320"/>
      <c r="E76" s="66" t="s">
        <v>124</v>
      </c>
      <c r="F76" s="359" t="s">
        <v>125</v>
      </c>
      <c r="G76" s="360"/>
      <c r="H76" s="321" t="s">
        <v>127</v>
      </c>
      <c r="I76" s="322"/>
      <c r="J76" s="73" t="s">
        <v>132</v>
      </c>
      <c r="K76" s="74" t="str">
        <f>IFERROR(K73+K75,"")</f>
        <v/>
      </c>
      <c r="L76" s="166"/>
      <c r="M76" s="144"/>
      <c r="N76" s="142"/>
      <c r="O76" s="142"/>
      <c r="P76" s="142"/>
      <c r="Q76" s="142"/>
      <c r="S76" s="32"/>
      <c r="T76" s="32"/>
    </row>
    <row r="77" spans="1:27" ht="15.75" customHeight="1" thickBot="1" x14ac:dyDescent="0.3">
      <c r="A77" s="293"/>
      <c r="B77" s="305"/>
      <c r="C77" s="303"/>
      <c r="D77" s="303"/>
      <c r="E77" s="172"/>
      <c r="F77" s="343"/>
      <c r="G77" s="344"/>
      <c r="H77" s="309"/>
      <c r="I77" s="309"/>
      <c r="J77" s="317" t="s">
        <v>133</v>
      </c>
      <c r="K77" s="68">
        <f>IF(SUM(R77:U77)&gt;0,"kalkulace",SUM(C78:I78))</f>
        <v>0</v>
      </c>
      <c r="L77" s="167"/>
      <c r="M77" s="145"/>
      <c r="N77" s="143"/>
      <c r="O77" s="143"/>
      <c r="P77" s="143"/>
      <c r="Q77" s="143"/>
      <c r="R77" s="14">
        <f>IF(C77=$AA$70,1,0)</f>
        <v>0</v>
      </c>
      <c r="S77" s="14">
        <f>IF(E77=$AA$70,1,0)</f>
        <v>0</v>
      </c>
      <c r="T77" s="14">
        <f>IF(F77=$AA$70,1,0)</f>
        <v>0</v>
      </c>
      <c r="U77" s="14">
        <f>IF(H77=$AA$70,1,0)</f>
        <v>0</v>
      </c>
    </row>
    <row r="78" spans="1:27" x14ac:dyDescent="0.25">
      <c r="A78" s="293"/>
      <c r="B78" s="306"/>
      <c r="C78" s="307">
        <f>IFERROR(IF(C77=$AA$70,"nutná kalkulace",IF(C77="",0,IF(C77=$AA$49,0,VLOOKUP($S71,$W$53:$Y$67,3,0)))),"konfiguruj dveře")</f>
        <v>0</v>
      </c>
      <c r="D78" s="308"/>
      <c r="E78" s="171">
        <f>IFERROR(IF(E77=$AA$70,"nutná kalkulace",IF(E77="",0,IF(E77=$AA$49,0,VLOOKUP($S71,$W$53:$Y$67,3,0)))),"konfiguruj dveře")</f>
        <v>0</v>
      </c>
      <c r="F78" s="307">
        <f>IFERROR(IF(F77=$AA$70,"nutná kalkulace",IF(F77="",0,IF(F77=$AA$49,0,VLOOKUP($S71,$W$53:$Y$67,3,0)))),"konfiguruj dveře")</f>
        <v>0</v>
      </c>
      <c r="G78" s="308"/>
      <c r="H78" s="307">
        <f>IFERROR(IF(H77=$AA$70,"nutná kalkulace",IF(H77="",0,IF(H77=$AA$49,0,VLOOKUP($S71,$W$53:$Y$67,3,0)))),"konfiguruj dveře")</f>
        <v>0</v>
      </c>
      <c r="I78" s="308"/>
      <c r="J78" s="318"/>
      <c r="K78" s="38" t="str">
        <f>IFERROR(IF(K77=0,"",K76+K77),"")</f>
        <v/>
      </c>
      <c r="L78" s="168"/>
      <c r="M78" s="146"/>
      <c r="N78" s="144"/>
      <c r="O78" s="144"/>
      <c r="P78" s="144"/>
      <c r="Q78" s="144"/>
      <c r="S78" s="32"/>
      <c r="T78" s="32"/>
      <c r="U78" s="32"/>
    </row>
    <row r="79" spans="1:27" ht="28.15" customHeight="1" thickBot="1" x14ac:dyDescent="0.3">
      <c r="A79" s="353"/>
      <c r="B79" s="101" t="s">
        <v>138</v>
      </c>
      <c r="C79" s="76"/>
      <c r="D79" s="361"/>
      <c r="E79" s="361"/>
      <c r="F79" s="361"/>
      <c r="G79" s="361"/>
      <c r="H79" s="361"/>
      <c r="I79" s="77" t="s">
        <v>136</v>
      </c>
      <c r="J79" s="78"/>
      <c r="K79" s="79" t="str">
        <f>IFERROR(IF(J79="","&lt;--  zadej množství",K78*J79),"")</f>
        <v>&lt;--  zadej množství</v>
      </c>
      <c r="L79" s="169"/>
      <c r="M79" s="147"/>
      <c r="N79" s="145"/>
      <c r="O79" s="145"/>
      <c r="P79" s="145"/>
      <c r="Q79" s="145"/>
      <c r="S79" s="32">
        <f>IF(ISNUMBER(K79),K79,0)</f>
        <v>0</v>
      </c>
      <c r="T79" s="32"/>
      <c r="U79" s="32"/>
    </row>
    <row r="80" spans="1:27" ht="18.75" customHeight="1" thickBot="1" x14ac:dyDescent="0.3">
      <c r="A80" s="337" t="s">
        <v>213</v>
      </c>
      <c r="B80" s="337"/>
      <c r="C80" s="337"/>
      <c r="D80" s="337"/>
      <c r="E80" s="338"/>
      <c r="F80" s="351" t="s">
        <v>211</v>
      </c>
      <c r="G80" s="352"/>
      <c r="H80" s="352"/>
      <c r="I80" s="119" t="s">
        <v>136</v>
      </c>
      <c r="J80" s="107">
        <f>J61+J70+J79+J52</f>
        <v>0</v>
      </c>
      <c r="K80" s="108">
        <f>S79+S70+S61+S52</f>
        <v>0</v>
      </c>
      <c r="L80" s="166"/>
      <c r="M80" s="148"/>
      <c r="N80" s="146"/>
      <c r="O80" s="146"/>
      <c r="P80" s="146"/>
      <c r="Q80" s="146"/>
    </row>
    <row r="81" spans="1:38" ht="18.75" customHeight="1" thickBot="1" x14ac:dyDescent="0.3">
      <c r="A81" s="339"/>
      <c r="B81" s="339"/>
      <c r="C81" s="339"/>
      <c r="D81" s="339"/>
      <c r="E81" s="340"/>
      <c r="F81" s="287" t="s">
        <v>212</v>
      </c>
      <c r="G81" s="288"/>
      <c r="H81" s="288"/>
      <c r="I81" s="289" t="s">
        <v>136</v>
      </c>
      <c r="J81" s="290">
        <f>J80+J39</f>
        <v>0</v>
      </c>
      <c r="K81" s="291">
        <f>K80+K39</f>
        <v>0</v>
      </c>
      <c r="L81" s="166"/>
      <c r="M81" s="149"/>
      <c r="N81" s="147"/>
      <c r="O81" s="147"/>
      <c r="P81" s="147"/>
      <c r="Q81" s="147"/>
    </row>
    <row r="82" spans="1:38" s="250" customFormat="1" x14ac:dyDescent="0.25">
      <c r="C82" s="251"/>
      <c r="D82" s="252"/>
      <c r="E82" s="251"/>
      <c r="F82" s="261"/>
      <c r="G82" s="261"/>
      <c r="H82" s="261"/>
      <c r="I82" s="261"/>
      <c r="J82" s="261"/>
      <c r="K82" s="262" t="s">
        <v>202</v>
      </c>
      <c r="L82" s="263"/>
      <c r="M82" s="264"/>
      <c r="N82" s="264"/>
      <c r="O82" s="264"/>
      <c r="P82" s="264"/>
      <c r="Q82" s="264"/>
      <c r="R82" s="253"/>
      <c r="AB82" s="265"/>
    </row>
    <row r="83" spans="1:38" s="254" customFormat="1" x14ac:dyDescent="0.25">
      <c r="A83" s="266" t="s">
        <v>221</v>
      </c>
      <c r="C83" s="255"/>
      <c r="D83" s="255"/>
      <c r="E83" s="255"/>
      <c r="F83" s="255"/>
      <c r="G83" s="255"/>
      <c r="H83" s="255"/>
      <c r="I83" s="255"/>
      <c r="J83" s="255"/>
      <c r="K83" s="255"/>
      <c r="L83" s="256"/>
      <c r="M83" s="257"/>
      <c r="N83" s="257"/>
      <c r="O83" s="258"/>
      <c r="P83" s="258"/>
      <c r="Q83" s="259"/>
      <c r="R83" s="260"/>
      <c r="S83" s="260"/>
      <c r="T83" s="260"/>
      <c r="U83" s="260"/>
      <c r="V83" s="260"/>
      <c r="W83" s="260"/>
      <c r="X83" s="260"/>
      <c r="Y83" s="260"/>
      <c r="Z83" s="260"/>
      <c r="AA83" s="260"/>
      <c r="AB83" s="260"/>
      <c r="AC83" s="260"/>
      <c r="AD83" s="260"/>
      <c r="AE83" s="260"/>
      <c r="AF83" s="260"/>
      <c r="AG83" s="260"/>
      <c r="AH83" s="260"/>
      <c r="AI83" s="260"/>
      <c r="AJ83" s="260"/>
      <c r="AK83" s="260"/>
      <c r="AL83" s="260"/>
    </row>
    <row r="84" spans="1:38" x14ac:dyDescent="0.25">
      <c r="A84" s="276" t="s">
        <v>416</v>
      </c>
      <c r="K84" s="280" t="s">
        <v>417</v>
      </c>
      <c r="L84" s="166"/>
      <c r="M84" s="165"/>
      <c r="N84" s="165"/>
      <c r="O84" s="167"/>
      <c r="P84" s="167"/>
      <c r="Q84" s="198"/>
      <c r="R84" s="32"/>
      <c r="S84" s="32"/>
      <c r="T84" s="32"/>
      <c r="U84" s="32"/>
      <c r="V84" s="32"/>
      <c r="W84" s="32"/>
      <c r="X84" s="32"/>
      <c r="Y84" s="32"/>
      <c r="Z84" s="32"/>
      <c r="AA84" s="199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</row>
    <row r="85" spans="1:38" s="254" customFormat="1" x14ac:dyDescent="0.25">
      <c r="A85" s="277" t="s">
        <v>414</v>
      </c>
      <c r="C85" s="255"/>
      <c r="D85" s="255"/>
      <c r="E85" s="255"/>
      <c r="F85" s="255"/>
      <c r="G85" s="255"/>
      <c r="I85" s="279" t="s">
        <v>415</v>
      </c>
      <c r="J85" s="255"/>
      <c r="K85" s="255"/>
      <c r="L85" s="258"/>
      <c r="M85" s="258"/>
      <c r="N85" s="258"/>
      <c r="O85" s="258"/>
      <c r="P85" s="258"/>
      <c r="Q85" s="259"/>
      <c r="R85" s="260"/>
      <c r="S85" s="260"/>
      <c r="T85" s="260"/>
      <c r="U85" s="260"/>
      <c r="V85" s="260"/>
      <c r="W85" s="260"/>
      <c r="X85" s="260"/>
      <c r="Y85" s="260"/>
      <c r="Z85" s="260"/>
      <c r="AA85" s="260"/>
      <c r="AB85" s="260"/>
      <c r="AC85" s="260"/>
      <c r="AD85" s="260"/>
      <c r="AE85" s="260"/>
      <c r="AF85" s="260"/>
      <c r="AG85" s="260"/>
      <c r="AH85" s="260"/>
      <c r="AI85" s="260"/>
      <c r="AJ85" s="260"/>
      <c r="AK85" s="260"/>
      <c r="AL85" s="260"/>
    </row>
    <row r="86" spans="1:38" x14ac:dyDescent="0.25">
      <c r="N86" s="150"/>
      <c r="O86" s="150"/>
      <c r="P86" s="150"/>
      <c r="Q86" s="150"/>
    </row>
  </sheetData>
  <sheetProtection algorithmName="SHA-512" hashValue="skqizAgVCfd8wX5oiZ1CjQf2efoTQKISjEmvXRzUPWx9U9iiUxFqMD1t+YGZEqC+EA0zOUV/DoPlG+zwD0SBHw==" saltValue="2ijsIuy+FLFA5TOFV2W7cg==" spinCount="100000" sheet="1" selectLockedCells="1"/>
  <sortState xmlns:xlrd2="http://schemas.microsoft.com/office/spreadsheetml/2017/richdata2" ref="AD40:AE49">
    <sortCondition ref="AD40"/>
  </sortState>
  <mergeCells count="177">
    <mergeCell ref="H16:J16"/>
    <mergeCell ref="F16:G16"/>
    <mergeCell ref="B17:B19"/>
    <mergeCell ref="C17:D17"/>
    <mergeCell ref="H14:I14"/>
    <mergeCell ref="F17:G17"/>
    <mergeCell ref="H17:I17"/>
    <mergeCell ref="C18:D18"/>
    <mergeCell ref="F18:G18"/>
    <mergeCell ref="H18:I18"/>
    <mergeCell ref="C15:D15"/>
    <mergeCell ref="C14:D14"/>
    <mergeCell ref="C16:D16"/>
    <mergeCell ref="A7:A10"/>
    <mergeCell ref="A2:D2"/>
    <mergeCell ref="A3:D3"/>
    <mergeCell ref="A4:D4"/>
    <mergeCell ref="C5:D5"/>
    <mergeCell ref="J1:K1"/>
    <mergeCell ref="D20:H20"/>
    <mergeCell ref="I2:K2"/>
    <mergeCell ref="I3:K3"/>
    <mergeCell ref="I4:K4"/>
    <mergeCell ref="I5:K5"/>
    <mergeCell ref="E2:F2"/>
    <mergeCell ref="E3:F3"/>
    <mergeCell ref="E4:F4"/>
    <mergeCell ref="E5:F5"/>
    <mergeCell ref="J18:J19"/>
    <mergeCell ref="C19:D19"/>
    <mergeCell ref="F19:G19"/>
    <mergeCell ref="H19:I19"/>
    <mergeCell ref="A12:A20"/>
    <mergeCell ref="B12:B16"/>
    <mergeCell ref="F14:G14"/>
    <mergeCell ref="H15:J15"/>
    <mergeCell ref="F15:G15"/>
    <mergeCell ref="A21:A29"/>
    <mergeCell ref="B21:B25"/>
    <mergeCell ref="F23:G23"/>
    <mergeCell ref="H23:I23"/>
    <mergeCell ref="F24:G24"/>
    <mergeCell ref="H24:J24"/>
    <mergeCell ref="F25:G25"/>
    <mergeCell ref="H25:J25"/>
    <mergeCell ref="B26:B28"/>
    <mergeCell ref="C26:D26"/>
    <mergeCell ref="F26:G26"/>
    <mergeCell ref="H26:I26"/>
    <mergeCell ref="C27:D27"/>
    <mergeCell ref="F27:G27"/>
    <mergeCell ref="H27:I27"/>
    <mergeCell ref="J27:J28"/>
    <mergeCell ref="C23:D23"/>
    <mergeCell ref="C24:D24"/>
    <mergeCell ref="C25:D25"/>
    <mergeCell ref="J36:J37"/>
    <mergeCell ref="C37:D37"/>
    <mergeCell ref="F37:G37"/>
    <mergeCell ref="H37:I37"/>
    <mergeCell ref="C28:D28"/>
    <mergeCell ref="F28:G28"/>
    <mergeCell ref="H28:I28"/>
    <mergeCell ref="D29:H29"/>
    <mergeCell ref="F32:G32"/>
    <mergeCell ref="H32:I32"/>
    <mergeCell ref="F33:G33"/>
    <mergeCell ref="H33:J33"/>
    <mergeCell ref="F34:G34"/>
    <mergeCell ref="H34:J34"/>
    <mergeCell ref="C35:D35"/>
    <mergeCell ref="F35:G35"/>
    <mergeCell ref="H35:I35"/>
    <mergeCell ref="C32:D32"/>
    <mergeCell ref="C33:D33"/>
    <mergeCell ref="C34:D34"/>
    <mergeCell ref="J50:J51"/>
    <mergeCell ref="C51:D51"/>
    <mergeCell ref="F51:G51"/>
    <mergeCell ref="H51:I51"/>
    <mergeCell ref="D38:H38"/>
    <mergeCell ref="A44:A52"/>
    <mergeCell ref="B44:B48"/>
    <mergeCell ref="F46:G46"/>
    <mergeCell ref="H46:I46"/>
    <mergeCell ref="F47:G47"/>
    <mergeCell ref="H47:J47"/>
    <mergeCell ref="F48:G48"/>
    <mergeCell ref="H48:J48"/>
    <mergeCell ref="B49:B51"/>
    <mergeCell ref="C49:D49"/>
    <mergeCell ref="F49:G49"/>
    <mergeCell ref="H49:I49"/>
    <mergeCell ref="A30:A38"/>
    <mergeCell ref="B30:B34"/>
    <mergeCell ref="B35:B37"/>
    <mergeCell ref="D52:H52"/>
    <mergeCell ref="C36:D36"/>
    <mergeCell ref="F36:G36"/>
    <mergeCell ref="H36:I36"/>
    <mergeCell ref="J59:J60"/>
    <mergeCell ref="C60:D60"/>
    <mergeCell ref="F60:G60"/>
    <mergeCell ref="H60:I60"/>
    <mergeCell ref="D61:H61"/>
    <mergeCell ref="C69:D69"/>
    <mergeCell ref="F69:G69"/>
    <mergeCell ref="H69:I69"/>
    <mergeCell ref="A53:A61"/>
    <mergeCell ref="B53:B57"/>
    <mergeCell ref="F55:G55"/>
    <mergeCell ref="H55:I55"/>
    <mergeCell ref="F56:G56"/>
    <mergeCell ref="H56:J56"/>
    <mergeCell ref="F57:G57"/>
    <mergeCell ref="H57:J57"/>
    <mergeCell ref="B58:B60"/>
    <mergeCell ref="C58:D58"/>
    <mergeCell ref="F58:G58"/>
    <mergeCell ref="H58:I58"/>
    <mergeCell ref="C59:D59"/>
    <mergeCell ref="F59:G59"/>
    <mergeCell ref="H59:I59"/>
    <mergeCell ref="A62:A70"/>
    <mergeCell ref="D79:H79"/>
    <mergeCell ref="B67:B69"/>
    <mergeCell ref="C67:D67"/>
    <mergeCell ref="F67:G67"/>
    <mergeCell ref="H67:I67"/>
    <mergeCell ref="C68:D68"/>
    <mergeCell ref="F68:G68"/>
    <mergeCell ref="H68:I68"/>
    <mergeCell ref="J68:J69"/>
    <mergeCell ref="D70:H70"/>
    <mergeCell ref="C73:D73"/>
    <mergeCell ref="C74:D74"/>
    <mergeCell ref="C75:D75"/>
    <mergeCell ref="B62:B66"/>
    <mergeCell ref="F64:G64"/>
    <mergeCell ref="H64:I64"/>
    <mergeCell ref="F65:G65"/>
    <mergeCell ref="H65:J65"/>
    <mergeCell ref="F66:G66"/>
    <mergeCell ref="H66:J66"/>
    <mergeCell ref="C65:D65"/>
    <mergeCell ref="C66:D66"/>
    <mergeCell ref="C50:D50"/>
    <mergeCell ref="A80:E81"/>
    <mergeCell ref="C77:D77"/>
    <mergeCell ref="F77:G77"/>
    <mergeCell ref="H77:I77"/>
    <mergeCell ref="J77:J78"/>
    <mergeCell ref="C78:D78"/>
    <mergeCell ref="F78:G78"/>
    <mergeCell ref="H78:I78"/>
    <mergeCell ref="F80:H80"/>
    <mergeCell ref="A71:A79"/>
    <mergeCell ref="B71:B75"/>
    <mergeCell ref="F73:G73"/>
    <mergeCell ref="H73:I73"/>
    <mergeCell ref="F74:G74"/>
    <mergeCell ref="H74:J74"/>
    <mergeCell ref="F75:G75"/>
    <mergeCell ref="H75:J75"/>
    <mergeCell ref="B76:B78"/>
    <mergeCell ref="C76:D76"/>
    <mergeCell ref="F76:G76"/>
    <mergeCell ref="H76:I76"/>
    <mergeCell ref="F50:G50"/>
    <mergeCell ref="H50:I50"/>
    <mergeCell ref="C46:D46"/>
    <mergeCell ref="C47:D47"/>
    <mergeCell ref="C48:D48"/>
    <mergeCell ref="C55:D55"/>
    <mergeCell ref="C56:D56"/>
    <mergeCell ref="C57:D57"/>
    <mergeCell ref="C64:D64"/>
  </mergeCells>
  <conditionalFormatting sqref="D13:J13 M47 N49:Q49 M56 N58:Q58 M65 N67:Q67 M74 N76:Q76 M21 M33 N35:Q35 M30">
    <cfRule type="cellIs" dxfId="86" priority="200" operator="greaterThan">
      <formula>0</formula>
    </cfRule>
  </conditionalFormatting>
  <conditionalFormatting sqref="C15 E15:G15">
    <cfRule type="cellIs" dxfId="85" priority="199" operator="greaterThan">
      <formula>0</formula>
    </cfRule>
  </conditionalFormatting>
  <conditionalFormatting sqref="C18:I18">
    <cfRule type="cellIs" dxfId="84" priority="198" operator="greaterThan">
      <formula>0</formula>
    </cfRule>
  </conditionalFormatting>
  <conditionalFormatting sqref="K18:L18 M38 N40:Q40 M52 N54:Q54 M61 N63:Q63 M70 N72:Q72 M79 N81:Q81 M26">
    <cfRule type="containsText" dxfId="83" priority="197" operator="containsText" text="kalkulace">
      <formula>NOT(ISERROR(SEARCH("kalkulace",K18)))</formula>
    </cfRule>
  </conditionalFormatting>
  <conditionalFormatting sqref="C18:I19">
    <cfRule type="containsText" dxfId="82" priority="195" operator="containsText" text="dveře">
      <formula>NOT(ISERROR(SEARCH("dveře",C18)))</formula>
    </cfRule>
    <cfRule type="containsText" dxfId="81" priority="196" operator="containsText" text="kalkulace">
      <formula>NOT(ISERROR(SEARCH("kalkulace",C18)))</formula>
    </cfRule>
  </conditionalFormatting>
  <conditionalFormatting sqref="C13">
    <cfRule type="cellIs" dxfId="80" priority="176" operator="greaterThan">
      <formula>0</formula>
    </cfRule>
  </conditionalFormatting>
  <conditionalFormatting sqref="K13:L13">
    <cfRule type="cellIs" dxfId="79" priority="175" operator="greaterThan">
      <formula>0</formula>
    </cfRule>
  </conditionalFormatting>
  <conditionalFormatting sqref="H15:J15">
    <cfRule type="cellIs" dxfId="78" priority="174" operator="greaterThan">
      <formula>0</formula>
    </cfRule>
  </conditionalFormatting>
  <conditionalFormatting sqref="N42:Q42 M40 M72 N74:Q74 M63 N65:Q65 M54 N56:Q56 M81 M28">
    <cfRule type="colorScale" priority="156">
      <colorScale>
        <cfvo type="num" val="1"/>
        <cfvo type="num" val="100000"/>
        <color theme="9" tint="0.59999389629810485"/>
        <color theme="9" tint="0.59999389629810485"/>
      </colorScale>
    </cfRule>
  </conditionalFormatting>
  <conditionalFormatting sqref="J39:J40 J80 J82">
    <cfRule type="cellIs" dxfId="77" priority="151" operator="greaterThan">
      <formula>0</formula>
    </cfRule>
  </conditionalFormatting>
  <conditionalFormatting sqref="K20:L20">
    <cfRule type="colorScale" priority="148">
      <colorScale>
        <cfvo type="num" val="1"/>
        <cfvo type="num" val="100000"/>
        <color theme="9" tint="0.59999389629810485"/>
        <color theme="9" tint="0.59999389629810485"/>
      </colorScale>
    </cfRule>
  </conditionalFormatting>
  <conditionalFormatting sqref="J20">
    <cfRule type="cellIs" dxfId="76" priority="147" operator="greaterThan">
      <formula>0</formula>
    </cfRule>
  </conditionalFormatting>
  <conditionalFormatting sqref="K39:L39 K80:L80 M41 N43:Q43 M82">
    <cfRule type="cellIs" dxfId="75" priority="146" operator="greaterThan">
      <formula>0</formula>
    </cfRule>
  </conditionalFormatting>
  <conditionalFormatting sqref="J81:L81">
    <cfRule type="cellIs" dxfId="74" priority="99" operator="greaterThan">
      <formula>0</formula>
    </cfRule>
  </conditionalFormatting>
  <conditionalFormatting sqref="N23:O23 P30:Q30 N32:O32">
    <cfRule type="cellIs" dxfId="73" priority="90" operator="greaterThan">
      <formula>0</formula>
    </cfRule>
  </conditionalFormatting>
  <conditionalFormatting sqref="N30:O30 P28:Q28">
    <cfRule type="colorScale" priority="89">
      <colorScale>
        <cfvo type="num" val="1"/>
        <cfvo type="num" val="100000"/>
        <color theme="9" tint="0.59999389629810485"/>
        <color theme="9" tint="0.59999389629810485"/>
      </colorScale>
    </cfRule>
  </conditionalFormatting>
  <conditionalFormatting sqref="P26:Q26">
    <cfRule type="containsText" dxfId="72" priority="91" operator="containsText" text="kalkulace">
      <formula>NOT(ISERROR(SEARCH("kalkulace",P22)))</formula>
    </cfRule>
  </conditionalFormatting>
  <conditionalFormatting sqref="N28:O28">
    <cfRule type="containsText" dxfId="71" priority="92" operator="containsText" text="kalkulace">
      <formula>NOT(ISERROR(SEARCH("kalkulace",N22)))</formula>
    </cfRule>
  </conditionalFormatting>
  <conditionalFormatting sqref="E24:G24">
    <cfRule type="cellIs" dxfId="70" priority="87" operator="greaterThan">
      <formula>0</formula>
    </cfRule>
  </conditionalFormatting>
  <conditionalFormatting sqref="C27:I27">
    <cfRule type="cellIs" dxfId="69" priority="86" operator="greaterThan">
      <formula>0</formula>
    </cfRule>
  </conditionalFormatting>
  <conditionalFormatting sqref="K27:L27">
    <cfRule type="containsText" dxfId="68" priority="85" operator="containsText" text="kalkulace">
      <formula>NOT(ISERROR(SEARCH("kalkulace",K27)))</formula>
    </cfRule>
  </conditionalFormatting>
  <conditionalFormatting sqref="C27:I28">
    <cfRule type="containsText" dxfId="67" priority="83" operator="containsText" text="dveře">
      <formula>NOT(ISERROR(SEARCH("dveře",C27)))</formula>
    </cfRule>
    <cfRule type="containsText" dxfId="66" priority="84" operator="containsText" text="kalkulace">
      <formula>NOT(ISERROR(SEARCH("kalkulace",C27)))</formula>
    </cfRule>
  </conditionalFormatting>
  <conditionalFormatting sqref="L22">
    <cfRule type="cellIs" dxfId="65" priority="81" operator="greaterThan">
      <formula>0</formula>
    </cfRule>
  </conditionalFormatting>
  <conditionalFormatting sqref="H24:J24">
    <cfRule type="cellIs" dxfId="64" priority="80" operator="greaterThan">
      <formula>0</formula>
    </cfRule>
  </conditionalFormatting>
  <conditionalFormatting sqref="K29:L29">
    <cfRule type="colorScale" priority="79">
      <colorScale>
        <cfvo type="num" val="1"/>
        <cfvo type="num" val="100000"/>
        <color theme="9" tint="0.59999389629810485"/>
        <color theme="9" tint="0.59999389629810485"/>
      </colorScale>
    </cfRule>
  </conditionalFormatting>
  <conditionalFormatting sqref="J29">
    <cfRule type="cellIs" dxfId="63" priority="78" operator="greaterThan">
      <formula>0</formula>
    </cfRule>
  </conditionalFormatting>
  <conditionalFormatting sqref="D31:J31">
    <cfRule type="cellIs" dxfId="62" priority="77" operator="greaterThan">
      <formula>0</formula>
    </cfRule>
  </conditionalFormatting>
  <conditionalFormatting sqref="E33:G33">
    <cfRule type="cellIs" dxfId="61" priority="76" operator="greaterThan">
      <formula>0</formula>
    </cfRule>
  </conditionalFormatting>
  <conditionalFormatting sqref="C36:I36">
    <cfRule type="cellIs" dxfId="60" priority="75" operator="greaterThan">
      <formula>0</formula>
    </cfRule>
  </conditionalFormatting>
  <conditionalFormatting sqref="K36:L36">
    <cfRule type="containsText" dxfId="59" priority="74" operator="containsText" text="kalkulace">
      <formula>NOT(ISERROR(SEARCH("kalkulace",K36)))</formula>
    </cfRule>
  </conditionalFormatting>
  <conditionalFormatting sqref="C36:I37">
    <cfRule type="containsText" dxfId="58" priority="72" operator="containsText" text="dveře">
      <formula>NOT(ISERROR(SEARCH("dveře",C36)))</formula>
    </cfRule>
    <cfRule type="containsText" dxfId="57" priority="73" operator="containsText" text="kalkulace">
      <formula>NOT(ISERROR(SEARCH("kalkulace",C36)))</formula>
    </cfRule>
  </conditionalFormatting>
  <conditionalFormatting sqref="C31">
    <cfRule type="cellIs" dxfId="56" priority="71" operator="greaterThan">
      <formula>0</formula>
    </cfRule>
  </conditionalFormatting>
  <conditionalFormatting sqref="K31:L31">
    <cfRule type="cellIs" dxfId="55" priority="70" operator="greaterThan">
      <formula>0</formula>
    </cfRule>
  </conditionalFormatting>
  <conditionalFormatting sqref="H33:J33">
    <cfRule type="cellIs" dxfId="54" priority="69" operator="greaterThan">
      <formula>0</formula>
    </cfRule>
  </conditionalFormatting>
  <conditionalFormatting sqref="K38:L38">
    <cfRule type="colorScale" priority="68">
      <colorScale>
        <cfvo type="num" val="1"/>
        <cfvo type="num" val="100000"/>
        <color theme="9" tint="0.59999389629810485"/>
        <color theme="9" tint="0.59999389629810485"/>
      </colorScale>
    </cfRule>
  </conditionalFormatting>
  <conditionalFormatting sqref="J38">
    <cfRule type="cellIs" dxfId="53" priority="67" operator="greaterThan">
      <formula>0</formula>
    </cfRule>
  </conditionalFormatting>
  <conditionalFormatting sqref="D45:J45">
    <cfRule type="cellIs" dxfId="52" priority="66" operator="greaterThan">
      <formula>0</formula>
    </cfRule>
  </conditionalFormatting>
  <conditionalFormatting sqref="E47:G47">
    <cfRule type="cellIs" dxfId="51" priority="65" operator="greaterThan">
      <formula>0</formula>
    </cfRule>
  </conditionalFormatting>
  <conditionalFormatting sqref="C50:I50">
    <cfRule type="cellIs" dxfId="50" priority="64" operator="greaterThan">
      <formula>0</formula>
    </cfRule>
  </conditionalFormatting>
  <conditionalFormatting sqref="K50:L50">
    <cfRule type="containsText" dxfId="49" priority="63" operator="containsText" text="kalkulace">
      <formula>NOT(ISERROR(SEARCH("kalkulace",K50)))</formula>
    </cfRule>
  </conditionalFormatting>
  <conditionalFormatting sqref="C50:I51">
    <cfRule type="containsText" dxfId="48" priority="61" operator="containsText" text="dveře">
      <formula>NOT(ISERROR(SEARCH("dveře",C50)))</formula>
    </cfRule>
    <cfRule type="containsText" dxfId="47" priority="62" operator="containsText" text="kalkulace">
      <formula>NOT(ISERROR(SEARCH("kalkulace",C50)))</formula>
    </cfRule>
  </conditionalFormatting>
  <conditionalFormatting sqref="C45">
    <cfRule type="cellIs" dxfId="46" priority="60" operator="greaterThan">
      <formula>0</formula>
    </cfRule>
  </conditionalFormatting>
  <conditionalFormatting sqref="K45:L45">
    <cfRule type="cellIs" dxfId="45" priority="59" operator="greaterThan">
      <formula>0</formula>
    </cfRule>
  </conditionalFormatting>
  <conditionalFormatting sqref="H47:J47">
    <cfRule type="cellIs" dxfId="44" priority="58" operator="greaterThan">
      <formula>0</formula>
    </cfRule>
  </conditionalFormatting>
  <conditionalFormatting sqref="K52:L52">
    <cfRule type="colorScale" priority="57">
      <colorScale>
        <cfvo type="num" val="1"/>
        <cfvo type="num" val="100000"/>
        <color theme="9" tint="0.59999389629810485"/>
        <color theme="9" tint="0.59999389629810485"/>
      </colorScale>
    </cfRule>
  </conditionalFormatting>
  <conditionalFormatting sqref="J52">
    <cfRule type="cellIs" dxfId="43" priority="56" operator="greaterThan">
      <formula>0</formula>
    </cfRule>
  </conditionalFormatting>
  <conditionalFormatting sqref="D54:J54">
    <cfRule type="cellIs" dxfId="42" priority="55" operator="greaterThan">
      <formula>0</formula>
    </cfRule>
  </conditionalFormatting>
  <conditionalFormatting sqref="E56:G56">
    <cfRule type="cellIs" dxfId="41" priority="54" operator="greaterThan">
      <formula>0</formula>
    </cfRule>
  </conditionalFormatting>
  <conditionalFormatting sqref="C59:I59">
    <cfRule type="cellIs" dxfId="40" priority="53" operator="greaterThan">
      <formula>0</formula>
    </cfRule>
  </conditionalFormatting>
  <conditionalFormatting sqref="K59:L59">
    <cfRule type="containsText" dxfId="39" priority="52" operator="containsText" text="kalkulace">
      <formula>NOT(ISERROR(SEARCH("kalkulace",K59)))</formula>
    </cfRule>
  </conditionalFormatting>
  <conditionalFormatting sqref="C59:I60">
    <cfRule type="containsText" dxfId="38" priority="50" operator="containsText" text="dveře">
      <formula>NOT(ISERROR(SEARCH("dveře",C59)))</formula>
    </cfRule>
    <cfRule type="containsText" dxfId="37" priority="51" operator="containsText" text="kalkulace">
      <formula>NOT(ISERROR(SEARCH("kalkulace",C59)))</formula>
    </cfRule>
  </conditionalFormatting>
  <conditionalFormatting sqref="C54">
    <cfRule type="cellIs" dxfId="36" priority="49" operator="greaterThan">
      <formula>0</formula>
    </cfRule>
  </conditionalFormatting>
  <conditionalFormatting sqref="K54:L54">
    <cfRule type="cellIs" dxfId="35" priority="48" operator="greaterThan">
      <formula>0</formula>
    </cfRule>
  </conditionalFormatting>
  <conditionalFormatting sqref="H56:J56">
    <cfRule type="cellIs" dxfId="34" priority="47" operator="greaterThan">
      <formula>0</formula>
    </cfRule>
  </conditionalFormatting>
  <conditionalFormatting sqref="K61:L61">
    <cfRule type="colorScale" priority="46">
      <colorScale>
        <cfvo type="num" val="1"/>
        <cfvo type="num" val="100000"/>
        <color theme="9" tint="0.59999389629810485"/>
        <color theme="9" tint="0.59999389629810485"/>
      </colorScale>
    </cfRule>
  </conditionalFormatting>
  <conditionalFormatting sqref="J61">
    <cfRule type="cellIs" dxfId="33" priority="45" operator="greaterThan">
      <formula>0</formula>
    </cfRule>
  </conditionalFormatting>
  <conditionalFormatting sqref="D63:J63">
    <cfRule type="cellIs" dxfId="32" priority="44" operator="greaterThan">
      <formula>0</formula>
    </cfRule>
  </conditionalFormatting>
  <conditionalFormatting sqref="E65:G65">
    <cfRule type="cellIs" dxfId="31" priority="43" operator="greaterThan">
      <formula>0</formula>
    </cfRule>
  </conditionalFormatting>
  <conditionalFormatting sqref="C68:I68">
    <cfRule type="cellIs" dxfId="30" priority="42" operator="greaterThan">
      <formula>0</formula>
    </cfRule>
  </conditionalFormatting>
  <conditionalFormatting sqref="K68:L68">
    <cfRule type="containsText" dxfId="29" priority="41" operator="containsText" text="kalkulace">
      <formula>NOT(ISERROR(SEARCH("kalkulace",K68)))</formula>
    </cfRule>
  </conditionalFormatting>
  <conditionalFormatting sqref="C68:I69">
    <cfRule type="containsText" dxfId="28" priority="39" operator="containsText" text="dveře">
      <formula>NOT(ISERROR(SEARCH("dveře",C68)))</formula>
    </cfRule>
    <cfRule type="containsText" dxfId="27" priority="40" operator="containsText" text="kalkulace">
      <formula>NOT(ISERROR(SEARCH("kalkulace",C68)))</formula>
    </cfRule>
  </conditionalFormatting>
  <conditionalFormatting sqref="C63">
    <cfRule type="cellIs" dxfId="26" priority="38" operator="greaterThan">
      <formula>0</formula>
    </cfRule>
  </conditionalFormatting>
  <conditionalFormatting sqref="K63:L63">
    <cfRule type="cellIs" dxfId="25" priority="37" operator="greaterThan">
      <formula>0</formula>
    </cfRule>
  </conditionalFormatting>
  <conditionalFormatting sqref="H65:J65">
    <cfRule type="cellIs" dxfId="24" priority="36" operator="greaterThan">
      <formula>0</formula>
    </cfRule>
  </conditionalFormatting>
  <conditionalFormatting sqref="K70:L70">
    <cfRule type="colorScale" priority="35">
      <colorScale>
        <cfvo type="num" val="1"/>
        <cfvo type="num" val="100000"/>
        <color theme="9" tint="0.59999389629810485"/>
        <color theme="9" tint="0.59999389629810485"/>
      </colorScale>
    </cfRule>
  </conditionalFormatting>
  <conditionalFormatting sqref="J70">
    <cfRule type="cellIs" dxfId="23" priority="34" operator="greaterThan">
      <formula>0</formula>
    </cfRule>
  </conditionalFormatting>
  <conditionalFormatting sqref="D72:J72">
    <cfRule type="cellIs" dxfId="22" priority="33" operator="greaterThan">
      <formula>0</formula>
    </cfRule>
  </conditionalFormatting>
  <conditionalFormatting sqref="E74:G74">
    <cfRule type="cellIs" dxfId="21" priority="32" operator="greaterThan">
      <formula>0</formula>
    </cfRule>
  </conditionalFormatting>
  <conditionalFormatting sqref="C77:I77">
    <cfRule type="cellIs" dxfId="20" priority="31" operator="greaterThan">
      <formula>0</formula>
    </cfRule>
  </conditionalFormatting>
  <conditionalFormatting sqref="K77:L77">
    <cfRule type="containsText" dxfId="19" priority="30" operator="containsText" text="kalkulace">
      <formula>NOT(ISERROR(SEARCH("kalkulace",K77)))</formula>
    </cfRule>
  </conditionalFormatting>
  <conditionalFormatting sqref="C77:I78">
    <cfRule type="containsText" dxfId="18" priority="28" operator="containsText" text="dveře">
      <formula>NOT(ISERROR(SEARCH("dveře",C77)))</formula>
    </cfRule>
    <cfRule type="containsText" dxfId="17" priority="29" operator="containsText" text="kalkulace">
      <formula>NOT(ISERROR(SEARCH("kalkulace",C77)))</formula>
    </cfRule>
  </conditionalFormatting>
  <conditionalFormatting sqref="C72">
    <cfRule type="cellIs" dxfId="16" priority="27" operator="greaterThan">
      <formula>0</formula>
    </cfRule>
  </conditionalFormatting>
  <conditionalFormatting sqref="K72:L72">
    <cfRule type="cellIs" dxfId="15" priority="26" operator="greaterThan">
      <formula>0</formula>
    </cfRule>
  </conditionalFormatting>
  <conditionalFormatting sqref="H74:J74">
    <cfRule type="cellIs" dxfId="14" priority="25" operator="greaterThan">
      <formula>0</formula>
    </cfRule>
  </conditionalFormatting>
  <conditionalFormatting sqref="K79:L79">
    <cfRule type="colorScale" priority="24">
      <colorScale>
        <cfvo type="num" val="1"/>
        <cfvo type="num" val="100000"/>
        <color theme="9" tint="0.59999389629810485"/>
        <color theme="9" tint="0.59999389629810485"/>
      </colorScale>
    </cfRule>
  </conditionalFormatting>
  <conditionalFormatting sqref="J79">
    <cfRule type="cellIs" dxfId="13" priority="23" operator="greaterThan">
      <formula>0</formula>
    </cfRule>
  </conditionalFormatting>
  <conditionalFormatting sqref="C24">
    <cfRule type="cellIs" dxfId="12" priority="14" operator="greaterThan">
      <formula>0</formula>
    </cfRule>
  </conditionalFormatting>
  <conditionalFormatting sqref="C33">
    <cfRule type="cellIs" dxfId="11" priority="13" operator="greaterThan">
      <formula>0</formula>
    </cfRule>
  </conditionalFormatting>
  <conditionalFormatting sqref="C47">
    <cfRule type="cellIs" dxfId="10" priority="12" operator="greaterThan">
      <formula>0</formula>
    </cfRule>
  </conditionalFormatting>
  <conditionalFormatting sqref="C56">
    <cfRule type="cellIs" dxfId="9" priority="11" operator="greaterThan">
      <formula>0</formula>
    </cfRule>
  </conditionalFormatting>
  <conditionalFormatting sqref="C65">
    <cfRule type="cellIs" dxfId="8" priority="10" operator="greaterThan">
      <formula>0</formula>
    </cfRule>
  </conditionalFormatting>
  <conditionalFormatting sqref="C74">
    <cfRule type="cellIs" dxfId="7" priority="9" operator="greaterThan">
      <formula>0</formula>
    </cfRule>
  </conditionalFormatting>
  <conditionalFormatting sqref="L84">
    <cfRule type="cellIs" dxfId="6" priority="6" operator="greaterThan">
      <formula>0</formula>
    </cfRule>
  </conditionalFormatting>
  <conditionalFormatting sqref="L83">
    <cfRule type="colorScale" priority="5">
      <colorScale>
        <cfvo type="num" val="1"/>
        <cfvo type="num" val="100000"/>
        <color theme="9" tint="0.59999389629810485"/>
        <color theme="9" tint="0.59999389629810485"/>
      </colorScale>
    </cfRule>
  </conditionalFormatting>
  <conditionalFormatting sqref="L85">
    <cfRule type="cellIs" dxfId="5" priority="4" operator="greaterThan">
      <formula>0</formula>
    </cfRule>
  </conditionalFormatting>
  <conditionalFormatting sqref="O84">
    <cfRule type="containsText" dxfId="4" priority="7" operator="containsText" text="kalkulace">
      <formula>NOT(ISERROR(SEARCH("kalkulace",P81)))</formula>
    </cfRule>
  </conditionalFormatting>
  <conditionalFormatting sqref="P84">
    <cfRule type="containsText" dxfId="3" priority="8" operator="containsText" text="kalkulace">
      <formula>NOT(ISERROR(SEARCH("kalkulace",R81)))</formula>
    </cfRule>
  </conditionalFormatting>
  <conditionalFormatting sqref="D22:J22">
    <cfRule type="cellIs" dxfId="2" priority="3" operator="greaterThan">
      <formula>0</formula>
    </cfRule>
  </conditionalFormatting>
  <conditionalFormatting sqref="C22">
    <cfRule type="cellIs" dxfId="1" priority="2" operator="greaterThan">
      <formula>0</formula>
    </cfRule>
  </conditionalFormatting>
  <conditionalFormatting sqref="K22">
    <cfRule type="cellIs" dxfId="0" priority="1" operator="greaterThan">
      <formula>0</formula>
    </cfRule>
  </conditionalFormatting>
  <dataValidations count="19">
    <dataValidation type="whole" allowBlank="1" showInputMessage="1" showErrorMessage="1" sqref="J20 J70 J29 J38 J52 J61 J79" xr:uid="{00000000-0002-0000-0100-000000000000}">
      <formula1>1</formula1>
      <formula2>9999</formula2>
    </dataValidation>
    <dataValidation type="list" allowBlank="1" showInputMessage="1" showErrorMessage="1" error="opravte" sqref="E13 E63 E22 E31 E45 E54 E72" xr:uid="{00000000-0002-0000-0100-000001000000}">
      <formula1>INDIRECT(D13)</formula1>
    </dataValidation>
    <dataValidation type="list" allowBlank="1" showInputMessage="1" showErrorMessage="1" sqref="F15:G15 F65:G65 F24:G24 F33:G33 F47:G47 F56:G56 F74:G74" xr:uid="{00000000-0002-0000-0100-000002000000}">
      <formula1>$W$44:$W$50</formula1>
    </dataValidation>
    <dataValidation type="list" allowBlank="1" showInputMessage="1" showErrorMessage="1" sqref="H15 H65 H24 H33 H47 H56 H74" xr:uid="{00000000-0002-0000-0100-000003000000}">
      <formula1>$AA$35:$AA$45</formula1>
    </dataValidation>
    <dataValidation type="list" allowBlank="1" showInputMessage="1" showErrorMessage="1" prompt="Dvoukřídlé dveře mají stejné mřížky v obou křídlech._x000a_" sqref="E15 E65 E24 E33 E47 E56 E74" xr:uid="{00000000-0002-0000-0100-000005000000}">
      <formula1>$W$35:$W$40</formula1>
    </dataValidation>
    <dataValidation type="list" allowBlank="1" showInputMessage="1" showErrorMessage="1" sqref="C15:C16 C56:C57 C65:C66 C24:C25 C33:C34 C47:C48 C74:C75" xr:uid="{00000000-0002-0000-0100-000006000000}">
      <formula1>$AA$30:$AA$32</formula1>
    </dataValidation>
    <dataValidation type="list" allowBlank="1" showInputMessage="1" showErrorMessage="1" prompt="Standard = dveře s falzem _x000a_a ostrou hranou." sqref="J13 J63 J22 J31 J45 J54 J72" xr:uid="{00000000-0002-0000-0100-000007000000}">
      <formula1>INDIRECT(S13)</formula1>
    </dataValidation>
    <dataValidation type="list" allowBlank="1" showInputMessage="1" showErrorMessage="1" prompt="Podívejte se na dveře ze strany, kde vidíte panty. Jsou-li vpravo, volte pravé. U dvoukřídlých dveří toto platí pro  křídlo s klikou. " sqref="I13 I63 I22 I31 I45 I54 I72" xr:uid="{00000000-0002-0000-0100-000008000000}">
      <formula1>$AA$26:$AA$27</formula1>
    </dataValidation>
    <dataValidation type="list" allowBlank="1" showInputMessage="1" showErrorMessage="1" sqref="H13 H63 H22 H31 H45 H54 H72" xr:uid="{00000000-0002-0000-0100-000009000000}">
      <formula1>INDIRECT(CONCATENATE($H$12,D13))</formula1>
    </dataValidation>
    <dataValidation type="list" allowBlank="1" showInputMessage="1" showErrorMessage="1" sqref="F13 F63 F22 F31 F45 F54 F72" xr:uid="{00000000-0002-0000-0100-00000A000000}">
      <formula1>typ</formula1>
    </dataValidation>
    <dataValidation type="list" allowBlank="1" showInputMessage="1" showErrorMessage="1" sqref="G13 G63 G22 G31 G45 G54 G72" xr:uid="{00000000-0002-0000-0100-00000B000000}">
      <formula1>INDIRECT(F13)</formula1>
    </dataValidation>
    <dataValidation type="list" allowBlank="1" showInputMessage="1" showErrorMessage="1" prompt="povrch dveří" sqref="D13 D63 D22 D31 D45 D54 D72" xr:uid="{00000000-0002-0000-0100-00000C000000}">
      <formula1>povrch</formula1>
    </dataValidation>
    <dataValidation type="list" allowBlank="1" showInputMessage="1" showErrorMessage="1" prompt="vyberte model" sqref="C13 C63 C22 C31 C45 C54 C72" xr:uid="{00000000-0002-0000-0100-00000D000000}">
      <formula1>$AD$36:$AD$40</formula1>
    </dataValidation>
    <dataValidation type="list" allowBlank="1" showInputMessage="1" showErrorMessage="1" prompt="zvolené sklo určuje cenu dveří _x000a_(nejlevnější 1 -&gt; _x000a_-&gt; 5 nejdražší)" sqref="M30 K63:L63 K54:L54 K45:L45 K31:L31 K22:L22 K13:L13 N76:Q76 M74 N67:Q67 M65 N58:Q58 M56 N49:Q49 M47 N35:Q35 M33 M21 K72:L72" xr:uid="{00000000-0002-0000-0100-00000E000000}">
      <formula1>$AD$45:$AD$54</formula1>
    </dataValidation>
    <dataValidation type="list" allowBlank="1" showInputMessage="1" showErrorMessage="1" prompt="zvolené sklo určuje cenu dveří _x000a_(nejlevnější 1 -&gt; _x000a_-&gt; 5 nejdražší)" sqref="N23:O23 N32:O32 P30:Q30" xr:uid="{4C295C47-FD0B-41F5-B95B-E1A8FA6C16D6}">
      <formula1>$AD$50:$AD$59</formula1>
    </dataValidation>
    <dataValidation type="list" allowBlank="1" showInputMessage="1" showErrorMessage="1" prompt="Čelní je ta strana z pohledu, kam se křídlo otevírá (kde vidíte panty). U dvoukřídlých jde o křídlo s klikou." sqref="C18:D18 C68:D68 C27:D27 C36:D36 C50:D50 C59:D59 C77:D77" xr:uid="{00000000-0002-0000-0100-000010000000}">
      <formula1>$AA$49:$AA$70</formula1>
    </dataValidation>
    <dataValidation type="list" allowBlank="1" showInputMessage="1" showErrorMessage="1" sqref="E18 E68 E27 E36 E50 E59 E77" xr:uid="{00000000-0002-0000-0100-000011000000}">
      <formula1>$AA$49:$AA$70</formula1>
    </dataValidation>
    <dataValidation type="list" allowBlank="1" showInputMessage="1" showErrorMessage="1" prompt="vyberte pouze pro dvoukřídlé dveře (pro křídlo bez kliky)" sqref="H18:I18 H68:I68 H27:I27 H36:I36 H50:I50 H59:I59 H77:I77" xr:uid="{00000000-0002-0000-0100-000012000000}">
      <formula1>IF(F13=$W$27,$AA$49:$AA$70,"ne")</formula1>
    </dataValidation>
    <dataValidation type="list" allowBlank="1" showInputMessage="1" showErrorMessage="1" prompt="vyberte pouze pro dvoukřídlé dveře (pro křídlo bez kliky)" sqref="F18:G18 F68:G68 F27:G27 F36:G36 F50:G50 F59:G59 F77:G77" xr:uid="{00000000-0002-0000-0100-000013000000}">
      <formula1>IF(F13=$W$27,$AA$49:$AA$70,"ne")</formula1>
    </dataValidation>
  </dataValidations>
  <hyperlinks>
    <hyperlink ref="K84" r:id="rId1" xr:uid="{7BACA77B-5AAF-433D-8EBA-232D107FAA04}"/>
  </hyperlinks>
  <pageMargins left="0.43307086614173229" right="0.31496062992125984" top="0.62992125984251968" bottom="0.70866141732283472" header="0.31496062992125984" footer="0.19685039370078741"/>
  <pageSetup paperSize="9" fitToHeight="2" orientation="portrait" r:id="rId2"/>
  <headerFooter>
    <oddHeader>&amp;Rstrana &amp;P</oddHeader>
    <oddFooter>&amp;L&amp;G&amp;R&amp;G</oddFooter>
  </headerFooter>
  <drawing r:id="rId3"/>
  <legacyDrawing r:id="rId4"/>
  <legacyDrawingHF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164"/>
  <sheetViews>
    <sheetView workbookViewId="0"/>
  </sheetViews>
  <sheetFormatPr defaultRowHeight="15" x14ac:dyDescent="0.25"/>
  <cols>
    <col min="3" max="4" width="6.28515625" style="81" customWidth="1"/>
    <col min="5" max="5" width="3.7109375" customWidth="1"/>
    <col min="6" max="7" width="6.28515625" style="81" customWidth="1"/>
    <col min="8" max="8" width="3.7109375" customWidth="1"/>
    <col min="9" max="10" width="6.28515625" style="81" customWidth="1"/>
    <col min="11" max="11" width="5.5703125" customWidth="1"/>
    <col min="12" max="13" width="6.28515625" style="81" customWidth="1"/>
    <col min="14" max="14" width="3.7109375" customWidth="1"/>
    <col min="16" max="16" width="27.7109375" bestFit="1" customWidth="1"/>
    <col min="17" max="17" width="8.7109375" style="28" customWidth="1"/>
    <col min="18" max="20" width="24.7109375" bestFit="1" customWidth="1"/>
  </cols>
  <sheetData>
    <row r="1" spans="1:17" s="284" customFormat="1" x14ac:dyDescent="0.25">
      <c r="B1" s="179" t="s">
        <v>396</v>
      </c>
      <c r="C1" s="285">
        <v>1590</v>
      </c>
      <c r="D1" s="285">
        <v>3180</v>
      </c>
      <c r="F1" s="285">
        <v>2790</v>
      </c>
      <c r="G1" s="285">
        <v>5580</v>
      </c>
      <c r="I1" s="285">
        <v>2490</v>
      </c>
      <c r="J1" s="285">
        <v>4980</v>
      </c>
      <c r="L1" s="285">
        <v>4000</v>
      </c>
      <c r="M1" s="285">
        <v>8000</v>
      </c>
    </row>
    <row r="2" spans="1:17" x14ac:dyDescent="0.25">
      <c r="O2" s="10"/>
    </row>
    <row r="3" spans="1:17" x14ac:dyDescent="0.25">
      <c r="A3" t="s">
        <v>186</v>
      </c>
      <c r="C3" s="81" t="s">
        <v>57</v>
      </c>
      <c r="F3" s="81" t="s">
        <v>51</v>
      </c>
      <c r="I3" s="81" t="s">
        <v>54</v>
      </c>
      <c r="L3" s="81" t="s">
        <v>18</v>
      </c>
      <c r="O3" s="286"/>
    </row>
    <row r="4" spans="1:17" x14ac:dyDescent="0.25">
      <c r="C4" s="81" t="s">
        <v>187</v>
      </c>
      <c r="D4" s="81" t="s">
        <v>188</v>
      </c>
      <c r="F4" s="81" t="s">
        <v>187</v>
      </c>
      <c r="G4" s="81" t="s">
        <v>188</v>
      </c>
      <c r="I4" s="81" t="s">
        <v>187</v>
      </c>
      <c r="J4" s="81" t="s">
        <v>188</v>
      </c>
      <c r="L4" s="81" t="s">
        <v>187</v>
      </c>
      <c r="M4" s="81" t="s">
        <v>188</v>
      </c>
      <c r="O4" s="32"/>
    </row>
    <row r="5" spans="1:17" x14ac:dyDescent="0.25">
      <c r="A5" t="s">
        <v>181</v>
      </c>
      <c r="B5" t="s">
        <v>166</v>
      </c>
      <c r="C5" s="82">
        <v>2190</v>
      </c>
      <c r="D5" s="82">
        <v>4380</v>
      </c>
      <c r="E5" s="32"/>
      <c r="F5" s="82">
        <v>3490</v>
      </c>
      <c r="G5" s="82">
        <v>6980</v>
      </c>
      <c r="H5" s="32"/>
      <c r="I5" s="82">
        <v>2890</v>
      </c>
      <c r="J5" s="82">
        <v>5780</v>
      </c>
      <c r="K5" s="32"/>
      <c r="L5" s="82">
        <f>L$1+F26</f>
        <v>4700</v>
      </c>
      <c r="M5" s="82">
        <f>M$1+G26</f>
        <v>9400</v>
      </c>
      <c r="P5" t="s">
        <v>236</v>
      </c>
      <c r="Q5" s="88">
        <v>6980</v>
      </c>
    </row>
    <row r="6" spans="1:17" x14ac:dyDescent="0.25">
      <c r="A6" t="s">
        <v>230</v>
      </c>
      <c r="B6" t="s">
        <v>167</v>
      </c>
      <c r="C6" s="82">
        <v>2440</v>
      </c>
      <c r="D6" s="82">
        <v>4630</v>
      </c>
      <c r="E6" s="32"/>
      <c r="F6" s="82">
        <v>3740</v>
      </c>
      <c r="G6" s="82">
        <v>7230</v>
      </c>
      <c r="H6" s="32"/>
      <c r="I6" s="82">
        <v>3140</v>
      </c>
      <c r="J6" s="82">
        <v>6030</v>
      </c>
      <c r="K6" s="32"/>
      <c r="L6" s="82">
        <f t="shared" ref="L6:M6" si="0">L$1+F27</f>
        <v>4950</v>
      </c>
      <c r="M6" s="82">
        <f t="shared" si="0"/>
        <v>9650</v>
      </c>
      <c r="P6" t="s">
        <v>237</v>
      </c>
      <c r="Q6" s="88">
        <v>7230</v>
      </c>
    </row>
    <row r="7" spans="1:17" x14ac:dyDescent="0.25">
      <c r="B7" t="s">
        <v>168</v>
      </c>
      <c r="C7" s="82">
        <v>2690</v>
      </c>
      <c r="D7" s="82">
        <v>4880</v>
      </c>
      <c r="E7" s="32"/>
      <c r="F7" s="82">
        <v>3990</v>
      </c>
      <c r="G7" s="82">
        <v>7480</v>
      </c>
      <c r="H7" s="32"/>
      <c r="I7" s="82">
        <v>3390</v>
      </c>
      <c r="J7" s="82">
        <v>6280</v>
      </c>
      <c r="K7" s="32"/>
      <c r="L7" s="82">
        <f t="shared" ref="L7:M7" si="1">L$1+F28</f>
        <v>5200</v>
      </c>
      <c r="M7" s="82">
        <f t="shared" si="1"/>
        <v>9900</v>
      </c>
      <c r="P7" t="s">
        <v>238</v>
      </c>
      <c r="Q7" s="88">
        <v>7480</v>
      </c>
    </row>
    <row r="8" spans="1:17" x14ac:dyDescent="0.25">
      <c r="B8" t="s">
        <v>169</v>
      </c>
      <c r="C8" s="82">
        <v>4690</v>
      </c>
      <c r="D8" s="82">
        <v>6880</v>
      </c>
      <c r="E8" s="32"/>
      <c r="F8" s="82">
        <v>5990</v>
      </c>
      <c r="G8" s="82">
        <v>9480</v>
      </c>
      <c r="H8" s="32"/>
      <c r="I8" s="82">
        <v>5390</v>
      </c>
      <c r="J8" s="82">
        <v>8280</v>
      </c>
      <c r="K8" s="32"/>
      <c r="L8" s="82">
        <f t="shared" ref="L8:M8" si="2">L$1+F29</f>
        <v>7200</v>
      </c>
      <c r="M8" s="82">
        <f t="shared" si="2"/>
        <v>11900</v>
      </c>
      <c r="P8" t="s">
        <v>239</v>
      </c>
      <c r="Q8" s="88">
        <v>9480</v>
      </c>
    </row>
    <row r="9" spans="1:17" x14ac:dyDescent="0.25">
      <c r="B9" t="s">
        <v>170</v>
      </c>
      <c r="C9" s="82">
        <v>5190</v>
      </c>
      <c r="D9" s="82">
        <v>7380</v>
      </c>
      <c r="E9" s="32"/>
      <c r="F9" s="82">
        <v>6490</v>
      </c>
      <c r="G9" s="82">
        <v>9980</v>
      </c>
      <c r="H9" s="32"/>
      <c r="I9" s="82">
        <v>5890</v>
      </c>
      <c r="J9" s="82">
        <v>8780</v>
      </c>
      <c r="K9" s="32"/>
      <c r="L9" s="82">
        <f t="shared" ref="L9:M9" si="3">L$1+F30</f>
        <v>7700</v>
      </c>
      <c r="M9" s="82">
        <f t="shared" si="3"/>
        <v>12400</v>
      </c>
      <c r="P9" t="s">
        <v>240</v>
      </c>
      <c r="Q9" s="88">
        <v>9980</v>
      </c>
    </row>
    <row r="10" spans="1:17" x14ac:dyDescent="0.25">
      <c r="A10" t="s">
        <v>182</v>
      </c>
      <c r="B10" t="s">
        <v>3</v>
      </c>
      <c r="C10" s="82">
        <f>C5+400</f>
        <v>2590</v>
      </c>
      <c r="D10" s="82">
        <f>D5+800</f>
        <v>5180</v>
      </c>
      <c r="E10" s="32"/>
      <c r="F10" s="82">
        <f t="shared" ref="F10:F19" si="4">F5+200</f>
        <v>3690</v>
      </c>
      <c r="G10" s="82">
        <f t="shared" ref="G10:G19" si="5">G5+400</f>
        <v>7380</v>
      </c>
      <c r="H10" s="32"/>
      <c r="I10" s="82">
        <f>I5+80</f>
        <v>2970</v>
      </c>
      <c r="J10" s="82">
        <f>J5+160</f>
        <v>5940</v>
      </c>
      <c r="K10" s="32"/>
      <c r="L10" s="82">
        <f t="shared" ref="L10:M10" si="6">L$1+F31</f>
        <v>4900</v>
      </c>
      <c r="M10" s="82">
        <f t="shared" si="6"/>
        <v>9800</v>
      </c>
      <c r="P10" t="s">
        <v>241</v>
      </c>
      <c r="Q10" s="88">
        <v>7380</v>
      </c>
    </row>
    <row r="11" spans="1:17" x14ac:dyDescent="0.25">
      <c r="A11" t="s">
        <v>231</v>
      </c>
      <c r="B11" t="s">
        <v>2</v>
      </c>
      <c r="C11" s="82">
        <f>C6+400</f>
        <v>2840</v>
      </c>
      <c r="D11" s="82">
        <f>D6+800</f>
        <v>5430</v>
      </c>
      <c r="E11" s="32"/>
      <c r="F11" s="82">
        <f t="shared" si="4"/>
        <v>3940</v>
      </c>
      <c r="G11" s="82">
        <f t="shared" si="5"/>
        <v>7630</v>
      </c>
      <c r="H11" s="32"/>
      <c r="I11" s="82">
        <f>I6+80</f>
        <v>3220</v>
      </c>
      <c r="J11" s="82">
        <f>J6+160</f>
        <v>6190</v>
      </c>
      <c r="K11" s="32"/>
      <c r="L11" s="82">
        <f t="shared" ref="L11:M11" si="7">L$1+F32</f>
        <v>5150</v>
      </c>
      <c r="M11" s="82">
        <f t="shared" si="7"/>
        <v>10050</v>
      </c>
      <c r="P11" t="s">
        <v>242</v>
      </c>
      <c r="Q11" s="88">
        <v>7630</v>
      </c>
    </row>
    <row r="12" spans="1:17" x14ac:dyDescent="0.25">
      <c r="B12" t="s">
        <v>1</v>
      </c>
      <c r="C12" s="82">
        <f>C7+400</f>
        <v>3090</v>
      </c>
      <c r="D12" s="82">
        <f>D7+800</f>
        <v>5680</v>
      </c>
      <c r="E12" s="32"/>
      <c r="F12" s="82">
        <f t="shared" si="4"/>
        <v>4190</v>
      </c>
      <c r="G12" s="82">
        <f t="shared" si="5"/>
        <v>7880</v>
      </c>
      <c r="H12" s="32"/>
      <c r="I12" s="82">
        <f>I7+80</f>
        <v>3470</v>
      </c>
      <c r="J12" s="82">
        <f>J7+160</f>
        <v>6440</v>
      </c>
      <c r="K12" s="32"/>
      <c r="L12" s="82">
        <f t="shared" ref="L12:M12" si="8">L$1+F33</f>
        <v>5400</v>
      </c>
      <c r="M12" s="82">
        <f t="shared" si="8"/>
        <v>10300</v>
      </c>
      <c r="P12" t="s">
        <v>243</v>
      </c>
      <c r="Q12" s="88">
        <v>7880</v>
      </c>
    </row>
    <row r="13" spans="1:17" x14ac:dyDescent="0.25">
      <c r="B13" t="s">
        <v>0</v>
      </c>
      <c r="C13" s="82">
        <f>C8+400</f>
        <v>5090</v>
      </c>
      <c r="D13" s="82">
        <f>D8+800</f>
        <v>7680</v>
      </c>
      <c r="E13" s="32"/>
      <c r="F13" s="82">
        <f t="shared" si="4"/>
        <v>6190</v>
      </c>
      <c r="G13" s="82">
        <f t="shared" si="5"/>
        <v>9880</v>
      </c>
      <c r="H13" s="32"/>
      <c r="I13" s="82">
        <f>I8+80</f>
        <v>5470</v>
      </c>
      <c r="J13" s="82">
        <f>J8+160</f>
        <v>8440</v>
      </c>
      <c r="K13" s="32"/>
      <c r="L13" s="82">
        <f t="shared" ref="L13:M13" si="9">L$1+F34</f>
        <v>7400</v>
      </c>
      <c r="M13" s="82">
        <f t="shared" si="9"/>
        <v>12300</v>
      </c>
      <c r="P13" t="s">
        <v>244</v>
      </c>
      <c r="Q13" s="88">
        <v>9880</v>
      </c>
    </row>
    <row r="14" spans="1:17" x14ac:dyDescent="0.25">
      <c r="B14" t="s">
        <v>189</v>
      </c>
      <c r="C14" s="82">
        <f>C9+400</f>
        <v>5590</v>
      </c>
      <c r="D14" s="82">
        <f>D9+800</f>
        <v>8180</v>
      </c>
      <c r="E14" s="32"/>
      <c r="F14" s="82">
        <f t="shared" si="4"/>
        <v>6690</v>
      </c>
      <c r="G14" s="82">
        <f t="shared" si="5"/>
        <v>10380</v>
      </c>
      <c r="H14" s="32"/>
      <c r="I14" s="82">
        <f>I9+80</f>
        <v>5970</v>
      </c>
      <c r="J14" s="82">
        <f>J9+160</f>
        <v>8940</v>
      </c>
      <c r="K14" s="32"/>
      <c r="L14" s="82">
        <f t="shared" ref="L14:M14" si="10">L$1+F35</f>
        <v>7900</v>
      </c>
      <c r="M14" s="82">
        <f t="shared" si="10"/>
        <v>12800</v>
      </c>
      <c r="P14" t="s">
        <v>245</v>
      </c>
      <c r="Q14" s="88">
        <v>10380</v>
      </c>
    </row>
    <row r="15" spans="1:17" x14ac:dyDescent="0.25">
      <c r="A15" t="s">
        <v>183</v>
      </c>
      <c r="B15" t="s">
        <v>3</v>
      </c>
      <c r="C15" s="82">
        <f>C10+300</f>
        <v>2890</v>
      </c>
      <c r="D15" s="82">
        <f>D10+600</f>
        <v>5780</v>
      </c>
      <c r="E15" s="32"/>
      <c r="F15" s="82">
        <f t="shared" si="4"/>
        <v>3890</v>
      </c>
      <c r="G15" s="82">
        <f t="shared" si="5"/>
        <v>7780</v>
      </c>
      <c r="H15" s="32"/>
      <c r="I15" s="82">
        <f>I10+620</f>
        <v>3590</v>
      </c>
      <c r="J15" s="82">
        <f>J10+1240</f>
        <v>7180</v>
      </c>
      <c r="K15" s="32"/>
      <c r="L15" s="82">
        <f t="shared" ref="L15:M15" si="11">L$1+F36</f>
        <v>5100</v>
      </c>
      <c r="M15" s="82">
        <f t="shared" si="11"/>
        <v>10200</v>
      </c>
      <c r="P15" t="s">
        <v>246</v>
      </c>
      <c r="Q15" s="88">
        <v>7780</v>
      </c>
    </row>
    <row r="16" spans="1:17" x14ac:dyDescent="0.25">
      <c r="A16" t="s">
        <v>232</v>
      </c>
      <c r="B16" t="s">
        <v>2</v>
      </c>
      <c r="C16" s="82">
        <f>C11+300</f>
        <v>3140</v>
      </c>
      <c r="D16" s="82">
        <f>D11+600</f>
        <v>6030</v>
      </c>
      <c r="E16" s="32"/>
      <c r="F16" s="82">
        <f t="shared" si="4"/>
        <v>4140</v>
      </c>
      <c r="G16" s="82">
        <f t="shared" si="5"/>
        <v>8030</v>
      </c>
      <c r="H16" s="32"/>
      <c r="I16" s="82">
        <f>I11+620</f>
        <v>3840</v>
      </c>
      <c r="J16" s="82">
        <f>J11+1240</f>
        <v>7430</v>
      </c>
      <c r="K16" s="32"/>
      <c r="L16" s="82">
        <f t="shared" ref="L16:M16" si="12">L$1+F37</f>
        <v>5350</v>
      </c>
      <c r="M16" s="82">
        <f t="shared" si="12"/>
        <v>10450</v>
      </c>
      <c r="P16" t="s">
        <v>247</v>
      </c>
      <c r="Q16" s="88">
        <v>8030</v>
      </c>
    </row>
    <row r="17" spans="1:17" x14ac:dyDescent="0.25">
      <c r="B17" t="s">
        <v>1</v>
      </c>
      <c r="C17" s="82">
        <f>C12+300</f>
        <v>3390</v>
      </c>
      <c r="D17" s="82">
        <f>D12+600</f>
        <v>6280</v>
      </c>
      <c r="E17" s="32"/>
      <c r="F17" s="82">
        <f t="shared" si="4"/>
        <v>4390</v>
      </c>
      <c r="G17" s="82">
        <f t="shared" si="5"/>
        <v>8280</v>
      </c>
      <c r="H17" s="32"/>
      <c r="I17" s="82">
        <f>I12+620</f>
        <v>4090</v>
      </c>
      <c r="J17" s="82">
        <f>J12+1240</f>
        <v>7680</v>
      </c>
      <c r="K17" s="32"/>
      <c r="L17" s="82">
        <f t="shared" ref="L17:M17" si="13">L$1+F38</f>
        <v>5600</v>
      </c>
      <c r="M17" s="82">
        <f t="shared" si="13"/>
        <v>10700</v>
      </c>
      <c r="P17" t="s">
        <v>248</v>
      </c>
      <c r="Q17" s="88">
        <v>8280</v>
      </c>
    </row>
    <row r="18" spans="1:17" x14ac:dyDescent="0.25">
      <c r="B18" t="s">
        <v>0</v>
      </c>
      <c r="C18" s="82">
        <f>C13+300</f>
        <v>5390</v>
      </c>
      <c r="D18" s="82">
        <f>D13+600</f>
        <v>8280</v>
      </c>
      <c r="E18" s="32"/>
      <c r="F18" s="82">
        <f t="shared" si="4"/>
        <v>6390</v>
      </c>
      <c r="G18" s="82">
        <f t="shared" si="5"/>
        <v>10280</v>
      </c>
      <c r="H18" s="32"/>
      <c r="I18" s="82">
        <f>I13+620</f>
        <v>6090</v>
      </c>
      <c r="J18" s="82">
        <f>J13+1240</f>
        <v>9680</v>
      </c>
      <c r="K18" s="32"/>
      <c r="L18" s="82">
        <f t="shared" ref="L18:M18" si="14">L$1+F39</f>
        <v>7600</v>
      </c>
      <c r="M18" s="82">
        <f t="shared" si="14"/>
        <v>12700</v>
      </c>
      <c r="P18" t="s">
        <v>249</v>
      </c>
      <c r="Q18" s="88">
        <v>10280</v>
      </c>
    </row>
    <row r="19" spans="1:17" x14ac:dyDescent="0.25">
      <c r="B19" t="s">
        <v>189</v>
      </c>
      <c r="C19" s="82">
        <f>C14+300</f>
        <v>5890</v>
      </c>
      <c r="D19" s="82">
        <f>D14+600</f>
        <v>8780</v>
      </c>
      <c r="E19" s="32"/>
      <c r="F19" s="82">
        <f t="shared" si="4"/>
        <v>6890</v>
      </c>
      <c r="G19" s="82">
        <f t="shared" si="5"/>
        <v>10780</v>
      </c>
      <c r="H19" s="32"/>
      <c r="I19" s="82">
        <f>I14+620</f>
        <v>6590</v>
      </c>
      <c r="J19" s="82">
        <f>J14+1240</f>
        <v>10180</v>
      </c>
      <c r="K19" s="32"/>
      <c r="L19" s="82">
        <f t="shared" ref="L19:M19" si="15">L$1+F40</f>
        <v>8100</v>
      </c>
      <c r="M19" s="82">
        <f t="shared" si="15"/>
        <v>13200</v>
      </c>
      <c r="P19" t="s">
        <v>250</v>
      </c>
      <c r="Q19" s="88">
        <v>10780</v>
      </c>
    </row>
    <row r="20" spans="1:17" x14ac:dyDescent="0.25">
      <c r="A20" t="s">
        <v>184</v>
      </c>
      <c r="B20" t="s">
        <v>3</v>
      </c>
      <c r="C20" s="82">
        <f>C15-100</f>
        <v>2790</v>
      </c>
      <c r="D20" s="82">
        <f>D15-200</f>
        <v>5580</v>
      </c>
      <c r="E20" s="32"/>
      <c r="F20" s="82">
        <f>F15</f>
        <v>3890</v>
      </c>
      <c r="G20" s="82">
        <f>G15</f>
        <v>7780</v>
      </c>
      <c r="H20" s="32"/>
      <c r="I20" s="82">
        <f>I15</f>
        <v>3590</v>
      </c>
      <c r="J20" s="82">
        <f>J15</f>
        <v>7180</v>
      </c>
      <c r="K20" s="32"/>
      <c r="L20" s="82">
        <f t="shared" ref="L20:M20" si="16">L$1+F41</f>
        <v>5100</v>
      </c>
      <c r="M20" s="82">
        <f t="shared" si="16"/>
        <v>10200</v>
      </c>
      <c r="P20" t="s">
        <v>251</v>
      </c>
      <c r="Q20" s="88">
        <v>7780</v>
      </c>
    </row>
    <row r="21" spans="1:17" x14ac:dyDescent="0.25">
      <c r="A21" t="s">
        <v>185</v>
      </c>
      <c r="B21" t="s">
        <v>2</v>
      </c>
      <c r="C21" s="82">
        <f t="shared" ref="C21:C24" si="17">C16-100</f>
        <v>3040</v>
      </c>
      <c r="D21" s="82">
        <f t="shared" ref="D21:D24" si="18">D16-200</f>
        <v>5830</v>
      </c>
      <c r="E21" s="32"/>
      <c r="F21" s="82">
        <f t="shared" ref="F21:G24" si="19">F16</f>
        <v>4140</v>
      </c>
      <c r="G21" s="82">
        <f t="shared" si="19"/>
        <v>8030</v>
      </c>
      <c r="H21" s="32"/>
      <c r="I21" s="82">
        <f t="shared" ref="I21:J24" si="20">I16</f>
        <v>3840</v>
      </c>
      <c r="J21" s="82">
        <f t="shared" si="20"/>
        <v>7430</v>
      </c>
      <c r="K21" s="32"/>
      <c r="L21" s="82">
        <f t="shared" ref="L21:M21" si="21">L$1+F42</f>
        <v>5350</v>
      </c>
      <c r="M21" s="82">
        <f t="shared" si="21"/>
        <v>10450</v>
      </c>
      <c r="P21" t="s">
        <v>252</v>
      </c>
      <c r="Q21" s="88">
        <v>8030</v>
      </c>
    </row>
    <row r="22" spans="1:17" x14ac:dyDescent="0.25">
      <c r="A22" t="s">
        <v>233</v>
      </c>
      <c r="B22" t="s">
        <v>1</v>
      </c>
      <c r="C22" s="82">
        <f t="shared" si="17"/>
        <v>3290</v>
      </c>
      <c r="D22" s="82">
        <f t="shared" si="18"/>
        <v>6080</v>
      </c>
      <c r="E22" s="32"/>
      <c r="F22" s="82">
        <f t="shared" si="19"/>
        <v>4390</v>
      </c>
      <c r="G22" s="82">
        <f t="shared" si="19"/>
        <v>8280</v>
      </c>
      <c r="H22" s="32"/>
      <c r="I22" s="82">
        <f t="shared" si="20"/>
        <v>4090</v>
      </c>
      <c r="J22" s="82">
        <f t="shared" si="20"/>
        <v>7680</v>
      </c>
      <c r="K22" s="32"/>
      <c r="L22" s="82">
        <f t="shared" ref="L22:M22" si="22">L$1+F43</f>
        <v>5600</v>
      </c>
      <c r="M22" s="82">
        <f t="shared" si="22"/>
        <v>10700</v>
      </c>
      <c r="P22" t="s">
        <v>253</v>
      </c>
      <c r="Q22" s="88">
        <v>8280</v>
      </c>
    </row>
    <row r="23" spans="1:17" x14ac:dyDescent="0.25">
      <c r="A23" t="s">
        <v>234</v>
      </c>
      <c r="B23" t="s">
        <v>0</v>
      </c>
      <c r="C23" s="82">
        <f t="shared" si="17"/>
        <v>5290</v>
      </c>
      <c r="D23" s="82">
        <f t="shared" si="18"/>
        <v>8080</v>
      </c>
      <c r="E23" s="32"/>
      <c r="F23" s="82">
        <f t="shared" si="19"/>
        <v>6390</v>
      </c>
      <c r="G23" s="82">
        <f t="shared" si="19"/>
        <v>10280</v>
      </c>
      <c r="H23" s="32"/>
      <c r="I23" s="82">
        <f t="shared" si="20"/>
        <v>6090</v>
      </c>
      <c r="J23" s="82">
        <f t="shared" si="20"/>
        <v>9680</v>
      </c>
      <c r="K23" s="32"/>
      <c r="L23" s="82">
        <f t="shared" ref="L23:M23" si="23">L$1+F44</f>
        <v>7600</v>
      </c>
      <c r="M23" s="82">
        <f t="shared" si="23"/>
        <v>12700</v>
      </c>
      <c r="P23" t="s">
        <v>254</v>
      </c>
      <c r="Q23" s="88">
        <v>10280</v>
      </c>
    </row>
    <row r="24" spans="1:17" x14ac:dyDescent="0.25">
      <c r="B24" t="s">
        <v>189</v>
      </c>
      <c r="C24" s="82">
        <f t="shared" si="17"/>
        <v>5790</v>
      </c>
      <c r="D24" s="82">
        <f t="shared" si="18"/>
        <v>8580</v>
      </c>
      <c r="E24" s="32"/>
      <c r="F24" s="82">
        <f t="shared" si="19"/>
        <v>6890</v>
      </c>
      <c r="G24" s="82">
        <f t="shared" si="19"/>
        <v>10780</v>
      </c>
      <c r="H24" s="32"/>
      <c r="I24" s="82">
        <f t="shared" si="20"/>
        <v>6590</v>
      </c>
      <c r="J24" s="82">
        <f t="shared" si="20"/>
        <v>10180</v>
      </c>
      <c r="K24" s="32"/>
      <c r="L24" s="82">
        <f t="shared" ref="L24:M24" si="24">L$1+F45</f>
        <v>8100</v>
      </c>
      <c r="M24" s="82">
        <f t="shared" si="24"/>
        <v>13200</v>
      </c>
      <c r="P24" t="s">
        <v>255</v>
      </c>
      <c r="Q24" s="88">
        <v>10780</v>
      </c>
    </row>
    <row r="25" spans="1:17" x14ac:dyDescent="0.25">
      <c r="P25" t="s">
        <v>256</v>
      </c>
      <c r="Q25" s="88">
        <v>3490</v>
      </c>
    </row>
    <row r="26" spans="1:17" x14ac:dyDescent="0.25">
      <c r="C26" s="81">
        <f>C5-C$1</f>
        <v>600</v>
      </c>
      <c r="D26" s="81">
        <f>D5-D$1</f>
        <v>1200</v>
      </c>
      <c r="E26" s="2"/>
      <c r="F26" s="81">
        <f>F5-F$1</f>
        <v>700</v>
      </c>
      <c r="G26" s="81">
        <f>G5-G$1</f>
        <v>1400</v>
      </c>
      <c r="I26" s="81">
        <f>I5-I$1</f>
        <v>400</v>
      </c>
      <c r="J26" s="81">
        <f>J5-J$1</f>
        <v>800</v>
      </c>
      <c r="P26" t="s">
        <v>257</v>
      </c>
      <c r="Q26" s="88">
        <v>3740</v>
      </c>
    </row>
    <row r="27" spans="1:17" x14ac:dyDescent="0.25">
      <c r="C27" s="81">
        <f t="shared" ref="C27:D27" si="25">C6-C$1</f>
        <v>850</v>
      </c>
      <c r="D27" s="81">
        <f t="shared" si="25"/>
        <v>1450</v>
      </c>
      <c r="F27" s="81">
        <f t="shared" ref="F27:G27" si="26">F6-F$1</f>
        <v>950</v>
      </c>
      <c r="G27" s="81">
        <f t="shared" si="26"/>
        <v>1650</v>
      </c>
      <c r="I27" s="81">
        <f t="shared" ref="I27:J27" si="27">I6-I$1</f>
        <v>650</v>
      </c>
      <c r="J27" s="81">
        <f t="shared" si="27"/>
        <v>1050</v>
      </c>
      <c r="P27" t="s">
        <v>258</v>
      </c>
      <c r="Q27" s="88">
        <v>3990</v>
      </c>
    </row>
    <row r="28" spans="1:17" x14ac:dyDescent="0.25">
      <c r="C28" s="81">
        <f t="shared" ref="C28:D28" si="28">C7-C$1</f>
        <v>1100</v>
      </c>
      <c r="D28" s="81">
        <f t="shared" si="28"/>
        <v>1700</v>
      </c>
      <c r="F28" s="81">
        <f t="shared" ref="F28:G28" si="29">F7-F$1</f>
        <v>1200</v>
      </c>
      <c r="G28" s="81">
        <f t="shared" si="29"/>
        <v>1900</v>
      </c>
      <c r="I28" s="81">
        <f t="shared" ref="I28:J28" si="30">I7-I$1</f>
        <v>900</v>
      </c>
      <c r="J28" s="81">
        <f t="shared" si="30"/>
        <v>1300</v>
      </c>
      <c r="P28" t="s">
        <v>259</v>
      </c>
      <c r="Q28" s="88">
        <v>5990</v>
      </c>
    </row>
    <row r="29" spans="1:17" x14ac:dyDescent="0.25">
      <c r="C29" s="81">
        <f t="shared" ref="C29:D29" si="31">C8-C$1</f>
        <v>3100</v>
      </c>
      <c r="D29" s="81">
        <f t="shared" si="31"/>
        <v>3700</v>
      </c>
      <c r="F29" s="81">
        <f t="shared" ref="F29:G29" si="32">F8-F$1</f>
        <v>3200</v>
      </c>
      <c r="G29" s="81">
        <f t="shared" si="32"/>
        <v>3900</v>
      </c>
      <c r="I29" s="81">
        <f t="shared" ref="I29:J29" si="33">I8-I$1</f>
        <v>2900</v>
      </c>
      <c r="J29" s="81">
        <f t="shared" si="33"/>
        <v>3300</v>
      </c>
      <c r="P29" t="s">
        <v>260</v>
      </c>
      <c r="Q29" s="88">
        <v>6490</v>
      </c>
    </row>
    <row r="30" spans="1:17" x14ac:dyDescent="0.25">
      <c r="C30" s="81">
        <f t="shared" ref="C30:D30" si="34">C9-C$1</f>
        <v>3600</v>
      </c>
      <c r="D30" s="81">
        <f t="shared" si="34"/>
        <v>4200</v>
      </c>
      <c r="F30" s="81">
        <f t="shared" ref="F30:G30" si="35">F9-F$1</f>
        <v>3700</v>
      </c>
      <c r="G30" s="81">
        <f t="shared" si="35"/>
        <v>4400</v>
      </c>
      <c r="I30" s="81">
        <f t="shared" ref="I30:J30" si="36">I9-I$1</f>
        <v>3400</v>
      </c>
      <c r="J30" s="81">
        <f t="shared" si="36"/>
        <v>3800</v>
      </c>
      <c r="P30" t="s">
        <v>261</v>
      </c>
      <c r="Q30" s="88">
        <v>3690</v>
      </c>
    </row>
    <row r="31" spans="1:17" x14ac:dyDescent="0.25">
      <c r="C31" s="81">
        <f t="shared" ref="C31:D31" si="37">C10-C$1</f>
        <v>1000</v>
      </c>
      <c r="D31" s="81">
        <f t="shared" si="37"/>
        <v>2000</v>
      </c>
      <c r="F31" s="81">
        <f t="shared" ref="F31:G31" si="38">F10-F$1</f>
        <v>900</v>
      </c>
      <c r="G31" s="81">
        <f t="shared" si="38"/>
        <v>1800</v>
      </c>
      <c r="I31" s="81">
        <f t="shared" ref="I31:J31" si="39">I10-I$1</f>
        <v>480</v>
      </c>
      <c r="J31" s="81">
        <f t="shared" si="39"/>
        <v>960</v>
      </c>
      <c r="P31" t="s">
        <v>262</v>
      </c>
      <c r="Q31" s="88">
        <v>3940</v>
      </c>
    </row>
    <row r="32" spans="1:17" x14ac:dyDescent="0.25">
      <c r="C32" s="81">
        <f t="shared" ref="C32:D32" si="40">C11-C$1</f>
        <v>1250</v>
      </c>
      <c r="D32" s="81">
        <f t="shared" si="40"/>
        <v>2250</v>
      </c>
      <c r="F32" s="81">
        <f t="shared" ref="F32:G32" si="41">F11-F$1</f>
        <v>1150</v>
      </c>
      <c r="G32" s="81">
        <f t="shared" si="41"/>
        <v>2050</v>
      </c>
      <c r="I32" s="81">
        <f t="shared" ref="I32:J32" si="42">I11-I$1</f>
        <v>730</v>
      </c>
      <c r="J32" s="81">
        <f t="shared" si="42"/>
        <v>1210</v>
      </c>
      <c r="P32" t="s">
        <v>263</v>
      </c>
      <c r="Q32" s="88">
        <v>4190</v>
      </c>
    </row>
    <row r="33" spans="3:17" x14ac:dyDescent="0.25">
      <c r="C33" s="81">
        <f t="shared" ref="C33:D33" si="43">C12-C$1</f>
        <v>1500</v>
      </c>
      <c r="D33" s="81">
        <f t="shared" si="43"/>
        <v>2500</v>
      </c>
      <c r="F33" s="81">
        <f t="shared" ref="F33:G33" si="44">F12-F$1</f>
        <v>1400</v>
      </c>
      <c r="G33" s="81">
        <f t="shared" si="44"/>
        <v>2300</v>
      </c>
      <c r="I33" s="81">
        <f t="shared" ref="I33:J33" si="45">I12-I$1</f>
        <v>980</v>
      </c>
      <c r="J33" s="81">
        <f t="shared" si="45"/>
        <v>1460</v>
      </c>
      <c r="P33" t="s">
        <v>264</v>
      </c>
      <c r="Q33" s="88">
        <v>6190</v>
      </c>
    </row>
    <row r="34" spans="3:17" x14ac:dyDescent="0.25">
      <c r="C34" s="81">
        <f t="shared" ref="C34:D34" si="46">C13-C$1</f>
        <v>3500</v>
      </c>
      <c r="D34" s="81">
        <f t="shared" si="46"/>
        <v>4500</v>
      </c>
      <c r="F34" s="81">
        <f t="shared" ref="F34:G34" si="47">F13-F$1</f>
        <v>3400</v>
      </c>
      <c r="G34" s="81">
        <f t="shared" si="47"/>
        <v>4300</v>
      </c>
      <c r="I34" s="81">
        <f t="shared" ref="I34:J34" si="48">I13-I$1</f>
        <v>2980</v>
      </c>
      <c r="J34" s="81">
        <f t="shared" si="48"/>
        <v>3460</v>
      </c>
      <c r="P34" t="s">
        <v>265</v>
      </c>
      <c r="Q34" s="88">
        <v>6690</v>
      </c>
    </row>
    <row r="35" spans="3:17" x14ac:dyDescent="0.25">
      <c r="C35" s="81">
        <f t="shared" ref="C35:D35" si="49">C14-C$1</f>
        <v>4000</v>
      </c>
      <c r="D35" s="81">
        <f t="shared" si="49"/>
        <v>5000</v>
      </c>
      <c r="F35" s="81">
        <f t="shared" ref="F35:G35" si="50">F14-F$1</f>
        <v>3900</v>
      </c>
      <c r="G35" s="81">
        <f t="shared" si="50"/>
        <v>4800</v>
      </c>
      <c r="I35" s="81">
        <f t="shared" ref="I35:J35" si="51">I14-I$1</f>
        <v>3480</v>
      </c>
      <c r="J35" s="81">
        <f t="shared" si="51"/>
        <v>3960</v>
      </c>
      <c r="P35" t="s">
        <v>266</v>
      </c>
      <c r="Q35" s="88">
        <v>3890</v>
      </c>
    </row>
    <row r="36" spans="3:17" x14ac:dyDescent="0.25">
      <c r="C36" s="81">
        <f t="shared" ref="C36:D36" si="52">C15-C$1</f>
        <v>1300</v>
      </c>
      <c r="D36" s="81">
        <f t="shared" si="52"/>
        <v>2600</v>
      </c>
      <c r="F36" s="81">
        <f t="shared" ref="F36:G36" si="53">F15-F$1</f>
        <v>1100</v>
      </c>
      <c r="G36" s="81">
        <f t="shared" si="53"/>
        <v>2200</v>
      </c>
      <c r="I36" s="81">
        <f t="shared" ref="I36:J36" si="54">I15-I$1</f>
        <v>1100</v>
      </c>
      <c r="J36" s="81">
        <f t="shared" si="54"/>
        <v>2200</v>
      </c>
      <c r="P36" t="s">
        <v>267</v>
      </c>
      <c r="Q36" s="88">
        <v>4140</v>
      </c>
    </row>
    <row r="37" spans="3:17" x14ac:dyDescent="0.25">
      <c r="C37" s="81">
        <f t="shared" ref="C37:D37" si="55">C16-C$1</f>
        <v>1550</v>
      </c>
      <c r="D37" s="81">
        <f t="shared" si="55"/>
        <v>2850</v>
      </c>
      <c r="F37" s="81">
        <f t="shared" ref="F37:G37" si="56">F16-F$1</f>
        <v>1350</v>
      </c>
      <c r="G37" s="81">
        <f t="shared" si="56"/>
        <v>2450</v>
      </c>
      <c r="I37" s="81">
        <f t="shared" ref="I37:J37" si="57">I16-I$1</f>
        <v>1350</v>
      </c>
      <c r="J37" s="81">
        <f t="shared" si="57"/>
        <v>2450</v>
      </c>
      <c r="P37" t="s">
        <v>268</v>
      </c>
      <c r="Q37" s="88">
        <v>4390</v>
      </c>
    </row>
    <row r="38" spans="3:17" x14ac:dyDescent="0.25">
      <c r="C38" s="81">
        <f t="shared" ref="C38:D38" si="58">C17-C$1</f>
        <v>1800</v>
      </c>
      <c r="D38" s="81">
        <f t="shared" si="58"/>
        <v>3100</v>
      </c>
      <c r="F38" s="81">
        <f t="shared" ref="F38:G38" si="59">F17-F$1</f>
        <v>1600</v>
      </c>
      <c r="G38" s="81">
        <f t="shared" si="59"/>
        <v>2700</v>
      </c>
      <c r="I38" s="81">
        <f t="shared" ref="I38:J38" si="60">I17-I$1</f>
        <v>1600</v>
      </c>
      <c r="J38" s="81">
        <f t="shared" si="60"/>
        <v>2700</v>
      </c>
      <c r="P38" t="s">
        <v>269</v>
      </c>
      <c r="Q38" s="88">
        <v>6390</v>
      </c>
    </row>
    <row r="39" spans="3:17" x14ac:dyDescent="0.25">
      <c r="C39" s="81">
        <f t="shared" ref="C39:D39" si="61">C18-C$1</f>
        <v>3800</v>
      </c>
      <c r="D39" s="81">
        <f t="shared" si="61"/>
        <v>5100</v>
      </c>
      <c r="F39" s="81">
        <f t="shared" ref="F39:G39" si="62">F18-F$1</f>
        <v>3600</v>
      </c>
      <c r="G39" s="81">
        <f t="shared" si="62"/>
        <v>4700</v>
      </c>
      <c r="I39" s="81">
        <f t="shared" ref="I39:J39" si="63">I18-I$1</f>
        <v>3600</v>
      </c>
      <c r="J39" s="81">
        <f t="shared" si="63"/>
        <v>4700</v>
      </c>
      <c r="P39" t="s">
        <v>270</v>
      </c>
      <c r="Q39" s="88">
        <v>6890</v>
      </c>
    </row>
    <row r="40" spans="3:17" x14ac:dyDescent="0.25">
      <c r="C40" s="81">
        <f t="shared" ref="C40:D40" si="64">C19-C$1</f>
        <v>4300</v>
      </c>
      <c r="D40" s="81">
        <f t="shared" si="64"/>
        <v>5600</v>
      </c>
      <c r="F40" s="81">
        <f t="shared" ref="F40:G40" si="65">F19-F$1</f>
        <v>4100</v>
      </c>
      <c r="G40" s="81">
        <f t="shared" si="65"/>
        <v>5200</v>
      </c>
      <c r="I40" s="81">
        <f t="shared" ref="I40:J40" si="66">I19-I$1</f>
        <v>4100</v>
      </c>
      <c r="J40" s="81">
        <f t="shared" si="66"/>
        <v>5200</v>
      </c>
      <c r="P40" t="s">
        <v>271</v>
      </c>
      <c r="Q40" s="88">
        <v>3890</v>
      </c>
    </row>
    <row r="41" spans="3:17" x14ac:dyDescent="0.25">
      <c r="C41" s="81">
        <f t="shared" ref="C41:D41" si="67">C20-C$1</f>
        <v>1200</v>
      </c>
      <c r="D41" s="81">
        <f t="shared" si="67"/>
        <v>2400</v>
      </c>
      <c r="F41" s="81">
        <f t="shared" ref="F41:G41" si="68">F20-F$1</f>
        <v>1100</v>
      </c>
      <c r="G41" s="81">
        <f t="shared" si="68"/>
        <v>2200</v>
      </c>
      <c r="I41" s="81">
        <f t="shared" ref="I41:J41" si="69">I20-I$1</f>
        <v>1100</v>
      </c>
      <c r="J41" s="81">
        <f t="shared" si="69"/>
        <v>2200</v>
      </c>
      <c r="P41" t="s">
        <v>272</v>
      </c>
      <c r="Q41" s="88">
        <v>4140</v>
      </c>
    </row>
    <row r="42" spans="3:17" x14ac:dyDescent="0.25">
      <c r="C42" s="81">
        <f t="shared" ref="C42:D42" si="70">C21-C$1</f>
        <v>1450</v>
      </c>
      <c r="D42" s="81">
        <f t="shared" si="70"/>
        <v>2650</v>
      </c>
      <c r="F42" s="81">
        <f t="shared" ref="F42:G42" si="71">F21-F$1</f>
        <v>1350</v>
      </c>
      <c r="G42" s="81">
        <f t="shared" si="71"/>
        <v>2450</v>
      </c>
      <c r="I42" s="81">
        <f t="shared" ref="I42:J42" si="72">I21-I$1</f>
        <v>1350</v>
      </c>
      <c r="J42" s="81">
        <f t="shared" si="72"/>
        <v>2450</v>
      </c>
      <c r="P42" t="s">
        <v>273</v>
      </c>
      <c r="Q42" s="88">
        <v>4390</v>
      </c>
    </row>
    <row r="43" spans="3:17" x14ac:dyDescent="0.25">
      <c r="C43" s="81">
        <f t="shared" ref="C43:D43" si="73">C22-C$1</f>
        <v>1700</v>
      </c>
      <c r="D43" s="81">
        <f t="shared" si="73"/>
        <v>2900</v>
      </c>
      <c r="F43" s="81">
        <f t="shared" ref="F43:G43" si="74">F22-F$1</f>
        <v>1600</v>
      </c>
      <c r="G43" s="81">
        <f t="shared" si="74"/>
        <v>2700</v>
      </c>
      <c r="I43" s="81">
        <f t="shared" ref="I43:J43" si="75">I22-I$1</f>
        <v>1600</v>
      </c>
      <c r="J43" s="81">
        <f t="shared" si="75"/>
        <v>2700</v>
      </c>
      <c r="P43" t="s">
        <v>274</v>
      </c>
      <c r="Q43" s="88">
        <v>6390</v>
      </c>
    </row>
    <row r="44" spans="3:17" x14ac:dyDescent="0.25">
      <c r="C44" s="81">
        <f t="shared" ref="C44:D44" si="76">C23-C$1</f>
        <v>3700</v>
      </c>
      <c r="D44" s="81">
        <f t="shared" si="76"/>
        <v>4900</v>
      </c>
      <c r="F44" s="81">
        <f t="shared" ref="F44:G44" si="77">F23-F$1</f>
        <v>3600</v>
      </c>
      <c r="G44" s="81">
        <f t="shared" si="77"/>
        <v>4700</v>
      </c>
      <c r="I44" s="81">
        <f t="shared" ref="I44:J44" si="78">I23-I$1</f>
        <v>3600</v>
      </c>
      <c r="J44" s="81">
        <f t="shared" si="78"/>
        <v>4700</v>
      </c>
      <c r="P44" t="s">
        <v>275</v>
      </c>
      <c r="Q44" s="88">
        <v>6890</v>
      </c>
    </row>
    <row r="45" spans="3:17" x14ac:dyDescent="0.25">
      <c r="C45" s="81">
        <f t="shared" ref="C45:D45" si="79">C24-C$1</f>
        <v>4200</v>
      </c>
      <c r="D45" s="81">
        <f t="shared" si="79"/>
        <v>5400</v>
      </c>
      <c r="F45" s="81">
        <f t="shared" ref="F45:G45" si="80">F24-F$1</f>
        <v>4100</v>
      </c>
      <c r="G45" s="81">
        <f t="shared" si="80"/>
        <v>5200</v>
      </c>
      <c r="I45" s="81">
        <f t="shared" ref="I45:J45" si="81">I24-I$1</f>
        <v>4100</v>
      </c>
      <c r="J45" s="81">
        <f t="shared" si="81"/>
        <v>5200</v>
      </c>
      <c r="P45" t="s">
        <v>276</v>
      </c>
      <c r="Q45" s="28">
        <v>9400</v>
      </c>
    </row>
    <row r="46" spans="3:17" x14ac:dyDescent="0.25">
      <c r="P46" t="s">
        <v>277</v>
      </c>
      <c r="Q46" s="28">
        <v>9650</v>
      </c>
    </row>
    <row r="47" spans="3:17" x14ac:dyDescent="0.25">
      <c r="P47" t="s">
        <v>278</v>
      </c>
      <c r="Q47" s="28">
        <v>9900</v>
      </c>
    </row>
    <row r="48" spans="3:17" x14ac:dyDescent="0.25">
      <c r="P48" t="s">
        <v>279</v>
      </c>
      <c r="Q48" s="28">
        <v>11900</v>
      </c>
    </row>
    <row r="49" spans="16:17" x14ac:dyDescent="0.25">
      <c r="P49" t="s">
        <v>280</v>
      </c>
      <c r="Q49" s="28">
        <v>12400</v>
      </c>
    </row>
    <row r="50" spans="16:17" x14ac:dyDescent="0.25">
      <c r="P50" t="s">
        <v>281</v>
      </c>
      <c r="Q50" s="28">
        <v>9800</v>
      </c>
    </row>
    <row r="51" spans="16:17" x14ac:dyDescent="0.25">
      <c r="P51" t="s">
        <v>282</v>
      </c>
      <c r="Q51" s="28">
        <v>10050</v>
      </c>
    </row>
    <row r="52" spans="16:17" x14ac:dyDescent="0.25">
      <c r="P52" t="s">
        <v>283</v>
      </c>
      <c r="Q52" s="28">
        <v>10300</v>
      </c>
    </row>
    <row r="53" spans="16:17" x14ac:dyDescent="0.25">
      <c r="P53" t="s">
        <v>284</v>
      </c>
      <c r="Q53" s="28">
        <v>12300</v>
      </c>
    </row>
    <row r="54" spans="16:17" x14ac:dyDescent="0.25">
      <c r="P54" t="s">
        <v>285</v>
      </c>
      <c r="Q54" s="28">
        <v>12800</v>
      </c>
    </row>
    <row r="55" spans="16:17" x14ac:dyDescent="0.25">
      <c r="P55" t="s">
        <v>286</v>
      </c>
      <c r="Q55" s="28">
        <v>10200</v>
      </c>
    </row>
    <row r="56" spans="16:17" x14ac:dyDescent="0.25">
      <c r="P56" t="s">
        <v>287</v>
      </c>
      <c r="Q56" s="28">
        <v>10450</v>
      </c>
    </row>
    <row r="57" spans="16:17" x14ac:dyDescent="0.25">
      <c r="P57" t="s">
        <v>288</v>
      </c>
      <c r="Q57" s="28">
        <v>10700</v>
      </c>
    </row>
    <row r="58" spans="16:17" x14ac:dyDescent="0.25">
      <c r="P58" t="s">
        <v>289</v>
      </c>
      <c r="Q58" s="28">
        <v>12700</v>
      </c>
    </row>
    <row r="59" spans="16:17" x14ac:dyDescent="0.25">
      <c r="P59" t="s">
        <v>290</v>
      </c>
      <c r="Q59" s="28">
        <v>13200</v>
      </c>
    </row>
    <row r="60" spans="16:17" x14ac:dyDescent="0.25">
      <c r="P60" t="s">
        <v>291</v>
      </c>
      <c r="Q60" s="28">
        <v>10200</v>
      </c>
    </row>
    <row r="61" spans="16:17" x14ac:dyDescent="0.25">
      <c r="P61" t="s">
        <v>292</v>
      </c>
      <c r="Q61" s="28">
        <v>10450</v>
      </c>
    </row>
    <row r="62" spans="16:17" x14ac:dyDescent="0.25">
      <c r="P62" t="s">
        <v>293</v>
      </c>
      <c r="Q62" s="28">
        <v>10700</v>
      </c>
    </row>
    <row r="63" spans="16:17" x14ac:dyDescent="0.25">
      <c r="P63" t="s">
        <v>294</v>
      </c>
      <c r="Q63" s="28">
        <v>12700</v>
      </c>
    </row>
    <row r="64" spans="16:17" x14ac:dyDescent="0.25">
      <c r="P64" t="s">
        <v>295</v>
      </c>
      <c r="Q64" s="28">
        <v>13200</v>
      </c>
    </row>
    <row r="65" spans="16:17" x14ac:dyDescent="0.25">
      <c r="P65" t="s">
        <v>296</v>
      </c>
      <c r="Q65" s="28">
        <v>4700</v>
      </c>
    </row>
    <row r="66" spans="16:17" x14ac:dyDescent="0.25">
      <c r="P66" t="s">
        <v>297</v>
      </c>
      <c r="Q66" s="28">
        <v>4950</v>
      </c>
    </row>
    <row r="67" spans="16:17" x14ac:dyDescent="0.25">
      <c r="P67" t="s">
        <v>298</v>
      </c>
      <c r="Q67" s="28">
        <v>5200</v>
      </c>
    </row>
    <row r="68" spans="16:17" x14ac:dyDescent="0.25">
      <c r="P68" t="s">
        <v>299</v>
      </c>
      <c r="Q68" s="28">
        <v>7200</v>
      </c>
    </row>
    <row r="69" spans="16:17" x14ac:dyDescent="0.25">
      <c r="P69" t="s">
        <v>300</v>
      </c>
      <c r="Q69" s="28">
        <v>7700</v>
      </c>
    </row>
    <row r="70" spans="16:17" x14ac:dyDescent="0.25">
      <c r="P70" t="s">
        <v>301</v>
      </c>
      <c r="Q70" s="28">
        <v>4900</v>
      </c>
    </row>
    <row r="71" spans="16:17" x14ac:dyDescent="0.25">
      <c r="P71" t="s">
        <v>302</v>
      </c>
      <c r="Q71" s="28">
        <v>5150</v>
      </c>
    </row>
    <row r="72" spans="16:17" x14ac:dyDescent="0.25">
      <c r="P72" t="s">
        <v>303</v>
      </c>
      <c r="Q72" s="28">
        <v>5400</v>
      </c>
    </row>
    <row r="73" spans="16:17" x14ac:dyDescent="0.25">
      <c r="P73" t="s">
        <v>304</v>
      </c>
      <c r="Q73" s="28">
        <v>7400</v>
      </c>
    </row>
    <row r="74" spans="16:17" x14ac:dyDescent="0.25">
      <c r="P74" t="s">
        <v>305</v>
      </c>
      <c r="Q74" s="28">
        <v>7900</v>
      </c>
    </row>
    <row r="75" spans="16:17" x14ac:dyDescent="0.25">
      <c r="P75" t="s">
        <v>306</v>
      </c>
      <c r="Q75" s="28">
        <v>5100</v>
      </c>
    </row>
    <row r="76" spans="16:17" x14ac:dyDescent="0.25">
      <c r="P76" t="s">
        <v>307</v>
      </c>
      <c r="Q76" s="28">
        <v>5350</v>
      </c>
    </row>
    <row r="77" spans="16:17" x14ac:dyDescent="0.25">
      <c r="P77" t="s">
        <v>308</v>
      </c>
      <c r="Q77" s="28">
        <v>5600</v>
      </c>
    </row>
    <row r="78" spans="16:17" x14ac:dyDescent="0.25">
      <c r="P78" t="s">
        <v>309</v>
      </c>
      <c r="Q78" s="28">
        <v>7600</v>
      </c>
    </row>
    <row r="79" spans="16:17" x14ac:dyDescent="0.25">
      <c r="P79" t="s">
        <v>310</v>
      </c>
      <c r="Q79" s="28">
        <v>8100</v>
      </c>
    </row>
    <row r="80" spans="16:17" x14ac:dyDescent="0.25">
      <c r="P80" t="s">
        <v>311</v>
      </c>
      <c r="Q80" s="28">
        <v>5100</v>
      </c>
    </row>
    <row r="81" spans="16:17" x14ac:dyDescent="0.25">
      <c r="P81" t="s">
        <v>312</v>
      </c>
      <c r="Q81" s="28">
        <v>5350</v>
      </c>
    </row>
    <row r="82" spans="16:17" x14ac:dyDescent="0.25">
      <c r="P82" t="s">
        <v>313</v>
      </c>
      <c r="Q82" s="28">
        <v>5600</v>
      </c>
    </row>
    <row r="83" spans="16:17" x14ac:dyDescent="0.25">
      <c r="P83" t="s">
        <v>314</v>
      </c>
      <c r="Q83" s="28">
        <v>7600</v>
      </c>
    </row>
    <row r="84" spans="16:17" x14ac:dyDescent="0.25">
      <c r="P84" t="s">
        <v>315</v>
      </c>
      <c r="Q84" s="28">
        <v>8100</v>
      </c>
    </row>
    <row r="85" spans="16:17" x14ac:dyDescent="0.25">
      <c r="P85" t="s">
        <v>316</v>
      </c>
      <c r="Q85" s="88">
        <v>4380</v>
      </c>
    </row>
    <row r="86" spans="16:17" x14ac:dyDescent="0.25">
      <c r="P86" t="s">
        <v>317</v>
      </c>
      <c r="Q86" s="88">
        <v>4630</v>
      </c>
    </row>
    <row r="87" spans="16:17" x14ac:dyDescent="0.25">
      <c r="P87" t="s">
        <v>318</v>
      </c>
      <c r="Q87" s="88">
        <v>4880</v>
      </c>
    </row>
    <row r="88" spans="16:17" x14ac:dyDescent="0.25">
      <c r="P88" t="s">
        <v>319</v>
      </c>
      <c r="Q88" s="88">
        <v>6880</v>
      </c>
    </row>
    <row r="89" spans="16:17" x14ac:dyDescent="0.25">
      <c r="P89" t="s">
        <v>320</v>
      </c>
      <c r="Q89" s="88">
        <v>7380</v>
      </c>
    </row>
    <row r="90" spans="16:17" x14ac:dyDescent="0.25">
      <c r="P90" t="s">
        <v>321</v>
      </c>
      <c r="Q90" s="88">
        <v>5180</v>
      </c>
    </row>
    <row r="91" spans="16:17" x14ac:dyDescent="0.25">
      <c r="P91" t="s">
        <v>322</v>
      </c>
      <c r="Q91" s="88">
        <v>5430</v>
      </c>
    </row>
    <row r="92" spans="16:17" x14ac:dyDescent="0.25">
      <c r="P92" t="s">
        <v>323</v>
      </c>
      <c r="Q92" s="88">
        <v>5680</v>
      </c>
    </row>
    <row r="93" spans="16:17" x14ac:dyDescent="0.25">
      <c r="P93" t="s">
        <v>324</v>
      </c>
      <c r="Q93" s="88">
        <v>7680</v>
      </c>
    </row>
    <row r="94" spans="16:17" x14ac:dyDescent="0.25">
      <c r="P94" t="s">
        <v>325</v>
      </c>
      <c r="Q94" s="88">
        <v>8180</v>
      </c>
    </row>
    <row r="95" spans="16:17" x14ac:dyDescent="0.25">
      <c r="P95" t="s">
        <v>326</v>
      </c>
      <c r="Q95" s="88">
        <v>5780</v>
      </c>
    </row>
    <row r="96" spans="16:17" x14ac:dyDescent="0.25">
      <c r="P96" t="s">
        <v>327</v>
      </c>
      <c r="Q96" s="88">
        <v>6030</v>
      </c>
    </row>
    <row r="97" spans="16:17" x14ac:dyDescent="0.25">
      <c r="P97" t="s">
        <v>328</v>
      </c>
      <c r="Q97" s="88">
        <v>6280</v>
      </c>
    </row>
    <row r="98" spans="16:17" x14ac:dyDescent="0.25">
      <c r="P98" t="s">
        <v>329</v>
      </c>
      <c r="Q98" s="88">
        <v>8280</v>
      </c>
    </row>
    <row r="99" spans="16:17" x14ac:dyDescent="0.25">
      <c r="P99" t="s">
        <v>330</v>
      </c>
      <c r="Q99" s="88">
        <v>8780</v>
      </c>
    </row>
    <row r="100" spans="16:17" x14ac:dyDescent="0.25">
      <c r="P100" t="s">
        <v>331</v>
      </c>
      <c r="Q100" s="88">
        <v>5580</v>
      </c>
    </row>
    <row r="101" spans="16:17" x14ac:dyDescent="0.25">
      <c r="P101" t="s">
        <v>332</v>
      </c>
      <c r="Q101" s="88">
        <v>5830</v>
      </c>
    </row>
    <row r="102" spans="16:17" x14ac:dyDescent="0.25">
      <c r="P102" t="s">
        <v>333</v>
      </c>
      <c r="Q102" s="88">
        <v>6080</v>
      </c>
    </row>
    <row r="103" spans="16:17" x14ac:dyDescent="0.25">
      <c r="P103" t="s">
        <v>334</v>
      </c>
      <c r="Q103" s="88">
        <v>8080</v>
      </c>
    </row>
    <row r="104" spans="16:17" x14ac:dyDescent="0.25">
      <c r="P104" t="s">
        <v>335</v>
      </c>
      <c r="Q104" s="88">
        <v>8580</v>
      </c>
    </row>
    <row r="105" spans="16:17" x14ac:dyDescent="0.25">
      <c r="P105" t="s">
        <v>336</v>
      </c>
      <c r="Q105" s="88">
        <v>2190</v>
      </c>
    </row>
    <row r="106" spans="16:17" x14ac:dyDescent="0.25">
      <c r="P106" t="s">
        <v>337</v>
      </c>
      <c r="Q106" s="88">
        <v>2440</v>
      </c>
    </row>
    <row r="107" spans="16:17" x14ac:dyDescent="0.25">
      <c r="P107" t="s">
        <v>338</v>
      </c>
      <c r="Q107" s="88">
        <v>2690</v>
      </c>
    </row>
    <row r="108" spans="16:17" x14ac:dyDescent="0.25">
      <c r="P108" t="s">
        <v>339</v>
      </c>
      <c r="Q108" s="88">
        <v>4690</v>
      </c>
    </row>
    <row r="109" spans="16:17" x14ac:dyDescent="0.25">
      <c r="P109" t="s">
        <v>340</v>
      </c>
      <c r="Q109" s="88">
        <v>5190</v>
      </c>
    </row>
    <row r="110" spans="16:17" x14ac:dyDescent="0.25">
      <c r="P110" t="s">
        <v>341</v>
      </c>
      <c r="Q110" s="88">
        <v>2590</v>
      </c>
    </row>
    <row r="111" spans="16:17" x14ac:dyDescent="0.25">
      <c r="P111" t="s">
        <v>342</v>
      </c>
      <c r="Q111" s="88">
        <v>2840</v>
      </c>
    </row>
    <row r="112" spans="16:17" x14ac:dyDescent="0.25">
      <c r="P112" t="s">
        <v>343</v>
      </c>
      <c r="Q112" s="88">
        <v>3090</v>
      </c>
    </row>
    <row r="113" spans="16:17" x14ac:dyDescent="0.25">
      <c r="P113" t="s">
        <v>344</v>
      </c>
      <c r="Q113" s="88">
        <v>5090</v>
      </c>
    </row>
    <row r="114" spans="16:17" x14ac:dyDescent="0.25">
      <c r="P114" t="s">
        <v>345</v>
      </c>
      <c r="Q114" s="88">
        <v>5590</v>
      </c>
    </row>
    <row r="115" spans="16:17" x14ac:dyDescent="0.25">
      <c r="P115" t="s">
        <v>346</v>
      </c>
      <c r="Q115" s="88">
        <v>2890</v>
      </c>
    </row>
    <row r="116" spans="16:17" x14ac:dyDescent="0.25">
      <c r="P116" t="s">
        <v>347</v>
      </c>
      <c r="Q116" s="88">
        <v>3140</v>
      </c>
    </row>
    <row r="117" spans="16:17" x14ac:dyDescent="0.25">
      <c r="P117" t="s">
        <v>348</v>
      </c>
      <c r="Q117" s="88">
        <v>3390</v>
      </c>
    </row>
    <row r="118" spans="16:17" x14ac:dyDescent="0.25">
      <c r="P118" t="s">
        <v>349</v>
      </c>
      <c r="Q118" s="88">
        <v>5390</v>
      </c>
    </row>
    <row r="119" spans="16:17" x14ac:dyDescent="0.25">
      <c r="P119" t="s">
        <v>350</v>
      </c>
      <c r="Q119" s="88">
        <v>5890</v>
      </c>
    </row>
    <row r="120" spans="16:17" x14ac:dyDescent="0.25">
      <c r="P120" t="s">
        <v>351</v>
      </c>
      <c r="Q120" s="88">
        <v>2790</v>
      </c>
    </row>
    <row r="121" spans="16:17" x14ac:dyDescent="0.25">
      <c r="P121" t="s">
        <v>352</v>
      </c>
      <c r="Q121" s="88">
        <v>3040</v>
      </c>
    </row>
    <row r="122" spans="16:17" x14ac:dyDescent="0.25">
      <c r="P122" t="s">
        <v>353</v>
      </c>
      <c r="Q122" s="88">
        <v>3290</v>
      </c>
    </row>
    <row r="123" spans="16:17" x14ac:dyDescent="0.25">
      <c r="P123" t="s">
        <v>354</v>
      </c>
      <c r="Q123" s="88">
        <v>5290</v>
      </c>
    </row>
    <row r="124" spans="16:17" x14ac:dyDescent="0.25">
      <c r="P124" t="s">
        <v>355</v>
      </c>
      <c r="Q124" s="88">
        <v>5790</v>
      </c>
    </row>
    <row r="125" spans="16:17" x14ac:dyDescent="0.25">
      <c r="P125" t="s">
        <v>356</v>
      </c>
      <c r="Q125" s="88">
        <v>5780</v>
      </c>
    </row>
    <row r="126" spans="16:17" x14ac:dyDescent="0.25">
      <c r="P126" t="s">
        <v>357</v>
      </c>
      <c r="Q126" s="88">
        <v>6030</v>
      </c>
    </row>
    <row r="127" spans="16:17" x14ac:dyDescent="0.25">
      <c r="P127" t="s">
        <v>358</v>
      </c>
      <c r="Q127" s="88">
        <v>6280</v>
      </c>
    </row>
    <row r="128" spans="16:17" x14ac:dyDescent="0.25">
      <c r="P128" t="s">
        <v>359</v>
      </c>
      <c r="Q128" s="88">
        <v>8280</v>
      </c>
    </row>
    <row r="129" spans="16:17" x14ac:dyDescent="0.25">
      <c r="P129" t="s">
        <v>360</v>
      </c>
      <c r="Q129" s="88">
        <v>8780</v>
      </c>
    </row>
    <row r="130" spans="16:17" x14ac:dyDescent="0.25">
      <c r="P130" t="s">
        <v>361</v>
      </c>
      <c r="Q130" s="88">
        <v>5940</v>
      </c>
    </row>
    <row r="131" spans="16:17" x14ac:dyDescent="0.25">
      <c r="P131" t="s">
        <v>362</v>
      </c>
      <c r="Q131" s="88">
        <v>6190</v>
      </c>
    </row>
    <row r="132" spans="16:17" x14ac:dyDescent="0.25">
      <c r="P132" t="s">
        <v>363</v>
      </c>
      <c r="Q132" s="88">
        <v>6440</v>
      </c>
    </row>
    <row r="133" spans="16:17" x14ac:dyDescent="0.25">
      <c r="P133" t="s">
        <v>364</v>
      </c>
      <c r="Q133" s="88">
        <v>8440</v>
      </c>
    </row>
    <row r="134" spans="16:17" x14ac:dyDescent="0.25">
      <c r="P134" t="s">
        <v>365</v>
      </c>
      <c r="Q134" s="88">
        <v>8940</v>
      </c>
    </row>
    <row r="135" spans="16:17" x14ac:dyDescent="0.25">
      <c r="P135" t="s">
        <v>366</v>
      </c>
      <c r="Q135" s="88">
        <v>7180</v>
      </c>
    </row>
    <row r="136" spans="16:17" x14ac:dyDescent="0.25">
      <c r="P136" t="s">
        <v>367</v>
      </c>
      <c r="Q136" s="88">
        <v>7430</v>
      </c>
    </row>
    <row r="137" spans="16:17" x14ac:dyDescent="0.25">
      <c r="P137" t="s">
        <v>368</v>
      </c>
      <c r="Q137" s="88">
        <v>7680</v>
      </c>
    </row>
    <row r="138" spans="16:17" x14ac:dyDescent="0.25">
      <c r="P138" t="s">
        <v>369</v>
      </c>
      <c r="Q138" s="88">
        <v>9680</v>
      </c>
    </row>
    <row r="139" spans="16:17" x14ac:dyDescent="0.25">
      <c r="P139" t="s">
        <v>370</v>
      </c>
      <c r="Q139" s="88">
        <v>10180</v>
      </c>
    </row>
    <row r="140" spans="16:17" x14ac:dyDescent="0.25">
      <c r="P140" t="s">
        <v>371</v>
      </c>
      <c r="Q140" s="88">
        <v>7180</v>
      </c>
    </row>
    <row r="141" spans="16:17" x14ac:dyDescent="0.25">
      <c r="P141" t="s">
        <v>372</v>
      </c>
      <c r="Q141" s="88">
        <v>7430</v>
      </c>
    </row>
    <row r="142" spans="16:17" x14ac:dyDescent="0.25">
      <c r="P142" t="s">
        <v>373</v>
      </c>
      <c r="Q142" s="88">
        <v>7680</v>
      </c>
    </row>
    <row r="143" spans="16:17" x14ac:dyDescent="0.25">
      <c r="P143" t="s">
        <v>374</v>
      </c>
      <c r="Q143" s="88">
        <v>9680</v>
      </c>
    </row>
    <row r="144" spans="16:17" x14ac:dyDescent="0.25">
      <c r="P144" t="s">
        <v>375</v>
      </c>
      <c r="Q144" s="88">
        <v>10180</v>
      </c>
    </row>
    <row r="145" spans="16:17" x14ac:dyDescent="0.25">
      <c r="P145" t="s">
        <v>376</v>
      </c>
      <c r="Q145" s="88">
        <v>2890</v>
      </c>
    </row>
    <row r="146" spans="16:17" x14ac:dyDescent="0.25">
      <c r="P146" t="s">
        <v>377</v>
      </c>
      <c r="Q146" s="88">
        <v>3140</v>
      </c>
    </row>
    <row r="147" spans="16:17" x14ac:dyDescent="0.25">
      <c r="P147" t="s">
        <v>378</v>
      </c>
      <c r="Q147" s="88">
        <v>3390</v>
      </c>
    </row>
    <row r="148" spans="16:17" x14ac:dyDescent="0.25">
      <c r="P148" t="s">
        <v>379</v>
      </c>
      <c r="Q148" s="88">
        <v>5390</v>
      </c>
    </row>
    <row r="149" spans="16:17" x14ac:dyDescent="0.25">
      <c r="P149" t="s">
        <v>380</v>
      </c>
      <c r="Q149" s="88">
        <v>5890</v>
      </c>
    </row>
    <row r="150" spans="16:17" x14ac:dyDescent="0.25">
      <c r="P150" t="s">
        <v>381</v>
      </c>
      <c r="Q150" s="88">
        <v>2970</v>
      </c>
    </row>
    <row r="151" spans="16:17" x14ac:dyDescent="0.25">
      <c r="P151" t="s">
        <v>382</v>
      </c>
      <c r="Q151" s="88">
        <v>3220</v>
      </c>
    </row>
    <row r="152" spans="16:17" x14ac:dyDescent="0.25">
      <c r="P152" t="s">
        <v>383</v>
      </c>
      <c r="Q152" s="88">
        <v>3470</v>
      </c>
    </row>
    <row r="153" spans="16:17" x14ac:dyDescent="0.25">
      <c r="P153" t="s">
        <v>384</v>
      </c>
      <c r="Q153" s="88">
        <v>5470</v>
      </c>
    </row>
    <row r="154" spans="16:17" x14ac:dyDescent="0.25">
      <c r="P154" t="s">
        <v>385</v>
      </c>
      <c r="Q154" s="88">
        <v>5970</v>
      </c>
    </row>
    <row r="155" spans="16:17" x14ac:dyDescent="0.25">
      <c r="P155" t="s">
        <v>386</v>
      </c>
      <c r="Q155" s="88">
        <v>3590</v>
      </c>
    </row>
    <row r="156" spans="16:17" x14ac:dyDescent="0.25">
      <c r="P156" t="s">
        <v>387</v>
      </c>
      <c r="Q156" s="88">
        <v>3840</v>
      </c>
    </row>
    <row r="157" spans="16:17" x14ac:dyDescent="0.25">
      <c r="P157" t="s">
        <v>388</v>
      </c>
      <c r="Q157" s="88">
        <v>4090</v>
      </c>
    </row>
    <row r="158" spans="16:17" x14ac:dyDescent="0.25">
      <c r="P158" t="s">
        <v>389</v>
      </c>
      <c r="Q158" s="88">
        <v>6090</v>
      </c>
    </row>
    <row r="159" spans="16:17" x14ac:dyDescent="0.25">
      <c r="P159" t="s">
        <v>390</v>
      </c>
      <c r="Q159" s="88">
        <v>6590</v>
      </c>
    </row>
    <row r="160" spans="16:17" x14ac:dyDescent="0.25">
      <c r="P160" t="s">
        <v>391</v>
      </c>
      <c r="Q160" s="88">
        <v>3590</v>
      </c>
    </row>
    <row r="161" spans="16:17" x14ac:dyDescent="0.25">
      <c r="P161" t="s">
        <v>392</v>
      </c>
      <c r="Q161" s="88">
        <v>3840</v>
      </c>
    </row>
    <row r="162" spans="16:17" x14ac:dyDescent="0.25">
      <c r="P162" t="s">
        <v>393</v>
      </c>
      <c r="Q162" s="88">
        <v>4090</v>
      </c>
    </row>
    <row r="163" spans="16:17" x14ac:dyDescent="0.25">
      <c r="P163" t="s">
        <v>394</v>
      </c>
      <c r="Q163" s="88">
        <v>6090</v>
      </c>
    </row>
    <row r="164" spans="16:17" x14ac:dyDescent="0.25">
      <c r="P164" t="s">
        <v>395</v>
      </c>
      <c r="Q164" s="88">
        <v>6590</v>
      </c>
    </row>
  </sheetData>
  <sheetProtection algorithmName="SHA-512" hashValue="G6ywSAaQpPlrs7pSoYa0QHtmPFs0zYJaUxz/kXmU6gHN6jo+pudkXQec5PUrHX0nmoZodNg99sqkdZvONH2mPQ==" saltValue="NkP/bXzFEMGdHKTjahyj2Q==" spinCount="100000" sheet="1"/>
  <sortState xmlns:xlrd2="http://schemas.microsoft.com/office/spreadsheetml/2017/richdata2" ref="P5:Q164">
    <sortCondition ref="P5:P164"/>
  </sortState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44</vt:i4>
      </vt:variant>
    </vt:vector>
  </HeadingPairs>
  <TitlesOfParts>
    <vt:vector size="47" baseType="lpstr">
      <vt:lpstr>dveře plné</vt:lpstr>
      <vt:lpstr>dveře prosklené</vt:lpstr>
      <vt:lpstr>ceny pro 1-7</vt:lpstr>
      <vt:lpstr>'dveře prosklené'!CPL</vt:lpstr>
      <vt:lpstr>CPL</vt:lpstr>
      <vt:lpstr>'dveře prosklené'!CPLdvoukřídlé</vt:lpstr>
      <vt:lpstr>CPLdvoukřídlé</vt:lpstr>
      <vt:lpstr>'dveře prosklené'!CPLjednokřídlé</vt:lpstr>
      <vt:lpstr>CPLjednokřídlé</vt:lpstr>
      <vt:lpstr>'dveře prosklené'!délkaCPL</vt:lpstr>
      <vt:lpstr>délkaCPL</vt:lpstr>
      <vt:lpstr>'dveře prosklené'!délkadýha</vt:lpstr>
      <vt:lpstr>délkadýha</vt:lpstr>
      <vt:lpstr>'dveře prosklené'!délkafólie</vt:lpstr>
      <vt:lpstr>délkafólie</vt:lpstr>
      <vt:lpstr>'dveře prosklené'!délkaRAL</vt:lpstr>
      <vt:lpstr>délkaRAL</vt:lpstr>
      <vt:lpstr>'dveře prosklené'!dvoukřídlé</vt:lpstr>
      <vt:lpstr>dvoukřídlé</vt:lpstr>
      <vt:lpstr>'dveře prosklené'!dýha</vt:lpstr>
      <vt:lpstr>dýha</vt:lpstr>
      <vt:lpstr>'dveře prosklené'!dýhadvoukřídlé</vt:lpstr>
      <vt:lpstr>dýhadvoukřídlé</vt:lpstr>
      <vt:lpstr>'dveře prosklené'!dýhajednokřídlé</vt:lpstr>
      <vt:lpstr>dýhajednokřídlé</vt:lpstr>
      <vt:lpstr>'dveře prosklené'!fólie</vt:lpstr>
      <vt:lpstr>fólie</vt:lpstr>
      <vt:lpstr>'dveře prosklené'!fóliedvoukřídlé</vt:lpstr>
      <vt:lpstr>fóliedvoukřídlé</vt:lpstr>
      <vt:lpstr>'dveře prosklené'!fóliejednokřídlé</vt:lpstr>
      <vt:lpstr>fóliejednokřídlé</vt:lpstr>
      <vt:lpstr>'dveře prosklené'!jednokřídlé</vt:lpstr>
      <vt:lpstr>jednokřídlé</vt:lpstr>
      <vt:lpstr>'dveře plné'!Oblast_tisku</vt:lpstr>
      <vt:lpstr>'dveře prosklené'!Oblast_tisku</vt:lpstr>
      <vt:lpstr>'dveře prosklené'!povrch</vt:lpstr>
      <vt:lpstr>povrch</vt:lpstr>
      <vt:lpstr>'dveře prosklené'!provedení</vt:lpstr>
      <vt:lpstr>provedení</vt:lpstr>
      <vt:lpstr>'dveře prosklené'!RAL</vt:lpstr>
      <vt:lpstr>RAL</vt:lpstr>
      <vt:lpstr>'dveře prosklené'!RALdvoukřídlé</vt:lpstr>
      <vt:lpstr>RALdvoukřídlé</vt:lpstr>
      <vt:lpstr>'dveře prosklené'!RALjednokřídlé</vt:lpstr>
      <vt:lpstr>RALjednokřídlé</vt:lpstr>
      <vt:lpstr>'dveře prosklené'!typ</vt:lpstr>
      <vt:lpstr>typ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Svačinová</dc:creator>
  <cp:lastModifiedBy>Ivana Svačinová</cp:lastModifiedBy>
  <cp:lastPrinted>2021-03-12T08:05:50Z</cp:lastPrinted>
  <dcterms:created xsi:type="dcterms:W3CDTF">2021-02-18T06:34:53Z</dcterms:created>
  <dcterms:modified xsi:type="dcterms:W3CDTF">2021-03-12T08:38:01Z</dcterms:modified>
</cp:coreProperties>
</file>